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G:\ENG_ESTAGIO\24 - GRACE\0. LICITAÇÕES\VIGILÂNCIA\modelo de planilha de composição de custo\"/>
    </mc:Choice>
  </mc:AlternateContent>
  <xr:revisionPtr revIDLastSave="0" documentId="8_{15E13954-A48B-4BC0-B9F0-658945A1D52C}" xr6:coauthVersionLast="47" xr6:coauthVersionMax="47" xr10:uidLastSave="{00000000-0000-0000-0000-000000000000}"/>
  <bookViews>
    <workbookView xWindow="28710" yWindow="-90" windowWidth="28980" windowHeight="15780" firstSheet="1" activeTab="6" xr2:uid="{177EDD12-4C13-49FB-BCE2-81B6C487A9FB}"/>
  </bookViews>
  <sheets>
    <sheet name="Resumo" sheetId="7" r:id="rId1"/>
    <sheet name="Memória de Cálculo" sheetId="41" r:id="rId2"/>
    <sheet name="VIG 44 H SRRJ" sheetId="40" r:id="rId3"/>
    <sheet name="VIG 12X36 DIURNO SRRJ" sheetId="39" r:id="rId4"/>
    <sheet name="VIG 12X36 NOTURNO SRRJ" sheetId="28" r:id="rId5"/>
    <sheet name="VIG 12X36 DIURNO GIG" sheetId="38" r:id="rId6"/>
    <sheet name="VIG 12X36 NOTURNO GIG" sheetId="37" r:id="rId7"/>
    <sheet name="Insumos e Equipamentos" sheetId="5" r:id="rId8"/>
    <sheet name="Uniformes" sheetId="6" r:id="rId9"/>
  </sheets>
  <definedNames>
    <definedName name="A">#REF!</definedName>
    <definedName name="aaaa">#REF!</definedName>
    <definedName name="AAAsDAFDSAGFDSHG">#REF!</definedName>
    <definedName name="abc">#REF!</definedName>
    <definedName name="ALMOXARIFE">#REF!</definedName>
    <definedName name="Area_2" localSheetId="5">#REF!</definedName>
    <definedName name="Area_2" localSheetId="3">#REF!</definedName>
    <definedName name="Area_2" localSheetId="6">#REF!</definedName>
    <definedName name="Area_2" localSheetId="4">#REF!</definedName>
    <definedName name="Area_2" localSheetId="2">#REF!</definedName>
    <definedName name="Area_2">#REF!</definedName>
    <definedName name="Area_3" localSheetId="5">#REF!</definedName>
    <definedName name="Area_3" localSheetId="3">#REF!</definedName>
    <definedName name="Area_3" localSheetId="6">#REF!</definedName>
    <definedName name="Area_3" localSheetId="4">#REF!</definedName>
    <definedName name="Area_3" localSheetId="2">#REF!</definedName>
    <definedName name="Area_3">#REF!</definedName>
    <definedName name="_xlnm.Print_Area" localSheetId="5">'VIG 12X36 DIURNO GIG'!$A$1:$K$130</definedName>
    <definedName name="_xlnm.Print_Area" localSheetId="3">'VIG 12X36 DIURNO SRRJ'!$A$1:$K$130</definedName>
    <definedName name="_xlnm.Print_Area" localSheetId="6">'VIG 12X36 NOTURNO GIG'!$A$1:$K$130</definedName>
    <definedName name="_xlnm.Print_Area" localSheetId="4">'VIG 12X36 NOTURNO SRRJ'!$A$1:$K$130</definedName>
    <definedName name="_xlnm.Print_Area" localSheetId="2">'VIG 44 H SRRJ'!$A$1:$K$130</definedName>
    <definedName name="aREA1" localSheetId="5">#REF!</definedName>
    <definedName name="aREA1" localSheetId="3">#REF!</definedName>
    <definedName name="aREA1" localSheetId="6">#REF!</definedName>
    <definedName name="aREA1" localSheetId="4">#REF!</definedName>
    <definedName name="aREA1" localSheetId="2">#REF!</definedName>
    <definedName name="aREA1">#REF!</definedName>
    <definedName name="area2" localSheetId="5">#REF!</definedName>
    <definedName name="area2" localSheetId="3">#REF!</definedName>
    <definedName name="area2" localSheetId="6">#REF!</definedName>
    <definedName name="area2" localSheetId="4">#REF!</definedName>
    <definedName name="area2" localSheetId="2">#REF!</definedName>
    <definedName name="area2">#REF!</definedName>
    <definedName name="Area3" localSheetId="5">#REF!</definedName>
    <definedName name="Area3" localSheetId="3">#REF!</definedName>
    <definedName name="Area3" localSheetId="6">#REF!</definedName>
    <definedName name="Area3" localSheetId="4">#REF!</definedName>
    <definedName name="Area3" localSheetId="2">#REF!</definedName>
    <definedName name="Area3">#REF!</definedName>
    <definedName name="Area4" localSheetId="5">#REF!</definedName>
    <definedName name="Area4" localSheetId="3">#REF!</definedName>
    <definedName name="Area4" localSheetId="6">#REF!</definedName>
    <definedName name="Area4" localSheetId="4">#REF!</definedName>
    <definedName name="Area4" localSheetId="2">#REF!</definedName>
    <definedName name="Area4">#REF!</definedName>
    <definedName name="ARTÍFICE_VRA" localSheetId="5">#REF!</definedName>
    <definedName name="ARTÍFICE_VRA" localSheetId="3">#REF!</definedName>
    <definedName name="ARTÍFICE_VRA" localSheetId="6">#REF!</definedName>
    <definedName name="ARTÍFICE_VRA" localSheetId="4">#REF!</definedName>
    <definedName name="ARTÍFICE_VRA" localSheetId="2">#REF!</definedName>
    <definedName name="ARTÍFICE_VRA">#REF!</definedName>
    <definedName name="ARTÍFICEVRA" localSheetId="5">#REF!</definedName>
    <definedName name="ARTÍFICEVRA" localSheetId="3">#REF!</definedName>
    <definedName name="ARTÍFICEVRA" localSheetId="6">#REF!</definedName>
    <definedName name="ARTÍFICEVRA" localSheetId="4">#REF!</definedName>
    <definedName name="ARTÍFICEVRA" localSheetId="2">#REF!</definedName>
    <definedName name="ARTÍFICEVRA">#REF!</definedName>
    <definedName name="B">#REF!</definedName>
    <definedName name="cbgnfgjg">#REF!</definedName>
    <definedName name="CDGFNFVBH">#REF!</definedName>
    <definedName name="E">#REF!</definedName>
    <definedName name="Excel_BuilIn" localSheetId="5">#REF!</definedName>
    <definedName name="Excel_BuilIn" localSheetId="3">#REF!</definedName>
    <definedName name="Excel_BuilIn" localSheetId="6">#REF!</definedName>
    <definedName name="Excel_BuilIn" localSheetId="4">#REF!</definedName>
    <definedName name="Excel_BuilIn" localSheetId="2">#REF!</definedName>
    <definedName name="Excel_BuilIn">#REF!</definedName>
    <definedName name="Excel_BuiltIn_Print_Area" localSheetId="5">#REF!</definedName>
    <definedName name="Excel_BuiltIn_Print_Area" localSheetId="3">#REF!</definedName>
    <definedName name="Excel_BuiltIn_Print_Area" localSheetId="6">#REF!</definedName>
    <definedName name="Excel_BuiltIn_Print_Area" localSheetId="4">#REF!</definedName>
    <definedName name="Excel_BuiltIn_Print_Area" localSheetId="2">#REF!</definedName>
    <definedName name="Excel_BuiltIn_Print_Area">#REF!</definedName>
    <definedName name="Excel_BuiltIn_Print_Area_1" localSheetId="5">#REF!</definedName>
    <definedName name="Excel_BuiltIn_Print_Area_1" localSheetId="3">#REF!</definedName>
    <definedName name="Excel_BuiltIn_Print_Area_1" localSheetId="6">#REF!</definedName>
    <definedName name="Excel_BuiltIn_Print_Area_1" localSheetId="4">#REF!</definedName>
    <definedName name="Excel_BuiltIn_Print_Area_1" localSheetId="2">#REF!</definedName>
    <definedName name="Excel_BuiltIn_Print_Area_1">#REF!</definedName>
    <definedName name="Excel_BuiltIn_Print_Area_2" localSheetId="5">#REF!</definedName>
    <definedName name="Excel_BuiltIn_Print_Area_2" localSheetId="3">#REF!</definedName>
    <definedName name="Excel_BuiltIn_Print_Area_2" localSheetId="6">#REF!</definedName>
    <definedName name="Excel_BuiltIn_Print_Area_2" localSheetId="4">#REF!</definedName>
    <definedName name="Excel_BuiltIn_Print_Area_2" localSheetId="2">#REF!</definedName>
    <definedName name="Excel_BuiltIn_Print_Area_2">#REF!</definedName>
    <definedName name="Excel_um" localSheetId="5">#REF!</definedName>
    <definedName name="Excel_um" localSheetId="3">#REF!</definedName>
    <definedName name="Excel_um" localSheetId="6">#REF!</definedName>
    <definedName name="Excel_um" localSheetId="4">#REF!</definedName>
    <definedName name="Excel_um" localSheetId="2">#REF!</definedName>
    <definedName name="Excel_um">#REF!</definedName>
    <definedName name="FTHRTGJHG">#REF!</definedName>
    <definedName name="gkghkj">#REF!</definedName>
    <definedName name="INSUMO" localSheetId="5">#REF!</definedName>
    <definedName name="INSUMO" localSheetId="3">#REF!</definedName>
    <definedName name="INSUMO" localSheetId="6">#REF!</definedName>
    <definedName name="INSUMO" localSheetId="4">#REF!</definedName>
    <definedName name="INSUMO" localSheetId="2">#REF!</definedName>
    <definedName name="INSUMO">#REF!</definedName>
    <definedName name="Pintor" localSheetId="5">#REF!</definedName>
    <definedName name="Pintor" localSheetId="3">#REF!</definedName>
    <definedName name="Pintor" localSheetId="6">#REF!</definedName>
    <definedName name="Pintor" localSheetId="4">#REF!</definedName>
    <definedName name="Pintor" localSheetId="2">#REF!</definedName>
    <definedName name="Pintor">#REF!</definedName>
    <definedName name="Pintor1" localSheetId="5">#REF!</definedName>
    <definedName name="Pintor1" localSheetId="3">#REF!</definedName>
    <definedName name="Pintor1" localSheetId="6">#REF!</definedName>
    <definedName name="Pintor1" localSheetId="4">#REF!</definedName>
    <definedName name="Pintor1" localSheetId="2">#REF!</definedName>
    <definedName name="Pintor1">#REF!</definedName>
    <definedName name="RTUJH">#REF!</definedName>
    <definedName name="SDFGDFGF">#REF!</definedName>
    <definedName name="SDFGSDGASDF">#REF!</definedName>
    <definedName name="segdfhg">#REF!</definedName>
    <definedName name="SHGFSDHFFDG">#REF!</definedName>
    <definedName name="um" localSheetId="5">#REF!</definedName>
    <definedName name="um" localSheetId="3">#REF!</definedName>
    <definedName name="um" localSheetId="6">#REF!</definedName>
    <definedName name="um" localSheetId="4">#REF!</definedName>
    <definedName name="um" localSheetId="2">#REF!</definedName>
    <definedName name="um">#REF!</definedName>
    <definedName name="VRA" localSheetId="5">#REF!</definedName>
    <definedName name="VRA" localSheetId="3">#REF!</definedName>
    <definedName name="VRA" localSheetId="6">#REF!</definedName>
    <definedName name="VRA" localSheetId="4">#REF!</definedName>
    <definedName name="VRA" localSheetId="2">#REF!</definedName>
    <definedName name="VRA">#REF!</definedName>
    <definedName name="zdfsdf">#REF!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86" i="38" l="1"/>
  <c r="J86" i="39"/>
  <c r="J86" i="40"/>
  <c r="C48" i="41"/>
  <c r="J86" i="37" s="1"/>
  <c r="J86" i="28" l="1"/>
  <c r="C51" i="41"/>
  <c r="J89" i="28" l="1"/>
  <c r="J89" i="39"/>
  <c r="J89" i="37"/>
  <c r="J89" i="38"/>
  <c r="C49" i="41"/>
  <c r="C50" i="41"/>
  <c r="J88" i="37" l="1"/>
  <c r="J88" i="40"/>
  <c r="J88" i="28"/>
  <c r="J88" i="39"/>
  <c r="J88" i="38"/>
  <c r="H138" i="40"/>
  <c r="H138" i="39"/>
  <c r="H138" i="28"/>
  <c r="H138" i="38"/>
  <c r="H138" i="37"/>
  <c r="C53" i="41"/>
  <c r="J87" i="37"/>
  <c r="C52" i="41"/>
  <c r="J87" i="40"/>
  <c r="J91" i="38" l="1"/>
  <c r="J91" i="39"/>
  <c r="J91" i="37"/>
  <c r="J91" i="28"/>
  <c r="J90" i="28"/>
  <c r="J90" i="38"/>
  <c r="J90" i="39"/>
  <c r="J90" i="37"/>
  <c r="J92" i="37" s="1"/>
  <c r="J87" i="28"/>
  <c r="J92" i="28" s="1"/>
  <c r="J87" i="39"/>
  <c r="J87" i="38"/>
  <c r="J92" i="38" s="1"/>
  <c r="J90" i="40"/>
  <c r="J91" i="40"/>
  <c r="J92" i="39" l="1"/>
  <c r="C40" i="41"/>
  <c r="I139" i="37"/>
  <c r="I139" i="38"/>
  <c r="I139" i="28"/>
  <c r="I139" i="39"/>
  <c r="I139" i="40"/>
  <c r="C15" i="41" l="1"/>
  <c r="C41" i="41"/>
  <c r="C44" i="41"/>
  <c r="J89" i="40"/>
  <c r="J92" i="40" s="1"/>
  <c r="J114" i="40"/>
  <c r="J118" i="40" s="1"/>
  <c r="J78" i="40"/>
  <c r="G58" i="40"/>
  <c r="J58" i="40" s="1"/>
  <c r="G57" i="40"/>
  <c r="J56" i="40"/>
  <c r="J54" i="40"/>
  <c r="J51" i="40"/>
  <c r="J40" i="40"/>
  <c r="J21" i="40"/>
  <c r="J114" i="39"/>
  <c r="J118" i="39" s="1"/>
  <c r="J78" i="39"/>
  <c r="G58" i="39"/>
  <c r="J58" i="39" s="1"/>
  <c r="G57" i="39"/>
  <c r="J56" i="39" s="1"/>
  <c r="J54" i="39"/>
  <c r="J51" i="39"/>
  <c r="J93" i="39" s="1"/>
  <c r="J40" i="39"/>
  <c r="J21" i="39"/>
  <c r="J114" i="38"/>
  <c r="J118" i="38" s="1"/>
  <c r="J78" i="38"/>
  <c r="G58" i="38"/>
  <c r="J58" i="38" s="1"/>
  <c r="G57" i="38"/>
  <c r="J56" i="38" s="1"/>
  <c r="J54" i="38"/>
  <c r="J51" i="38"/>
  <c r="J93" i="38" s="1"/>
  <c r="J40" i="38"/>
  <c r="J21" i="38"/>
  <c r="J26" i="38" s="1"/>
  <c r="J114" i="37"/>
  <c r="J118" i="37" s="1"/>
  <c r="J78" i="37"/>
  <c r="G58" i="37"/>
  <c r="J58" i="37" s="1"/>
  <c r="G57" i="37"/>
  <c r="J56" i="37" s="1"/>
  <c r="J54" i="37"/>
  <c r="J51" i="37"/>
  <c r="J93" i="37" s="1"/>
  <c r="J40" i="37"/>
  <c r="J21" i="37"/>
  <c r="J93" i="40" l="1"/>
  <c r="J26" i="39"/>
  <c r="J26" i="40"/>
  <c r="J26" i="37"/>
  <c r="J79" i="40"/>
  <c r="J79" i="39"/>
  <c r="J27" i="38"/>
  <c r="K86" i="38" s="1"/>
  <c r="G55" i="38"/>
  <c r="J55" i="38" s="1"/>
  <c r="J63" i="38" s="1"/>
  <c r="J70" i="38" s="1"/>
  <c r="J79" i="38"/>
  <c r="J79" i="37"/>
  <c r="K87" i="39" l="1"/>
  <c r="K88" i="38"/>
  <c r="G55" i="40"/>
  <c r="J55" i="40" s="1"/>
  <c r="J63" i="40" s="1"/>
  <c r="J70" i="40" s="1"/>
  <c r="J94" i="37"/>
  <c r="G55" i="39"/>
  <c r="J55" i="39" s="1"/>
  <c r="J63" i="39" s="1"/>
  <c r="J70" i="39" s="1"/>
  <c r="J27" i="39"/>
  <c r="K88" i="39" s="1"/>
  <c r="J27" i="40"/>
  <c r="K86" i="40" s="1"/>
  <c r="J27" i="37"/>
  <c r="G55" i="37"/>
  <c r="J55" i="37" s="1"/>
  <c r="J63" i="37" s="1"/>
  <c r="J70" i="37" s="1"/>
  <c r="J94" i="39"/>
  <c r="K87" i="38"/>
  <c r="K75" i="38"/>
  <c r="K89" i="38"/>
  <c r="K39" i="38"/>
  <c r="J136" i="38" s="1"/>
  <c r="K38" i="38"/>
  <c r="K80" i="38"/>
  <c r="K91" i="38"/>
  <c r="K79" i="38"/>
  <c r="J137" i="38"/>
  <c r="K90" i="38"/>
  <c r="J34" i="38"/>
  <c r="J123" i="38" s="1"/>
  <c r="K78" i="38"/>
  <c r="K93" i="38"/>
  <c r="J94" i="38"/>
  <c r="J78" i="28"/>
  <c r="J40" i="28"/>
  <c r="D5" i="6"/>
  <c r="G5" i="6" s="1"/>
  <c r="H5" i="6" s="1"/>
  <c r="I5" i="6" s="1"/>
  <c r="H4" i="5"/>
  <c r="I4" i="5" s="1"/>
  <c r="J4" i="5" s="1"/>
  <c r="G2" i="6"/>
  <c r="H2" i="6" s="1"/>
  <c r="I2" i="6" s="1"/>
  <c r="G13" i="6"/>
  <c r="H13" i="6" s="1"/>
  <c r="I13" i="6" s="1"/>
  <c r="G17" i="6"/>
  <c r="H17" i="6" s="1"/>
  <c r="I17" i="6" s="1"/>
  <c r="G18" i="6"/>
  <c r="H18" i="6" s="1"/>
  <c r="I18" i="6" s="1"/>
  <c r="D7" i="6"/>
  <c r="G7" i="6" s="1"/>
  <c r="H7" i="6" s="1"/>
  <c r="I7" i="6" s="1"/>
  <c r="D13" i="6"/>
  <c r="D14" i="6"/>
  <c r="G14" i="6" s="1"/>
  <c r="H14" i="6" s="1"/>
  <c r="I14" i="6" s="1"/>
  <c r="C17" i="5"/>
  <c r="H17" i="5" s="1"/>
  <c r="I17" i="5" s="1"/>
  <c r="L17" i="5" s="1"/>
  <c r="M17" i="5" s="1"/>
  <c r="N17" i="5" s="1"/>
  <c r="H6" i="5"/>
  <c r="I6" i="5" s="1"/>
  <c r="J6" i="5" s="1"/>
  <c r="D3" i="6"/>
  <c r="G3" i="6" s="1"/>
  <c r="H3" i="6" s="1"/>
  <c r="I3" i="6" s="1"/>
  <c r="D4" i="6"/>
  <c r="G4" i="6" s="1"/>
  <c r="H4" i="6" s="1"/>
  <c r="I4" i="6" s="1"/>
  <c r="D6" i="6"/>
  <c r="G6" i="6" s="1"/>
  <c r="H6" i="6" s="1"/>
  <c r="I6" i="6" s="1"/>
  <c r="D18" i="6"/>
  <c r="D16" i="6"/>
  <c r="G16" i="6" s="1"/>
  <c r="H16" i="6" s="1"/>
  <c r="I16" i="6" s="1"/>
  <c r="D15" i="6"/>
  <c r="G15" i="6" s="1"/>
  <c r="H15" i="6" s="1"/>
  <c r="I15" i="6" s="1"/>
  <c r="D12" i="6"/>
  <c r="G12" i="6" s="1"/>
  <c r="H12" i="6" s="1"/>
  <c r="I12" i="6" s="1"/>
  <c r="D11" i="6"/>
  <c r="G11" i="6" s="1"/>
  <c r="H11" i="6" s="1"/>
  <c r="I11" i="6" s="1"/>
  <c r="H18" i="5"/>
  <c r="I18" i="5" s="1"/>
  <c r="L18" i="5" s="1"/>
  <c r="M18" i="5" s="1"/>
  <c r="N18" i="5" s="1"/>
  <c r="H16" i="5"/>
  <c r="I16" i="5" s="1"/>
  <c r="L16" i="5" s="1"/>
  <c r="N15" i="5"/>
  <c r="H11" i="5"/>
  <c r="I11" i="5" s="1"/>
  <c r="J11" i="5" s="1"/>
  <c r="H10" i="5"/>
  <c r="I10" i="5" s="1"/>
  <c r="J10" i="5" s="1"/>
  <c r="H9" i="5"/>
  <c r="I9" i="5" s="1"/>
  <c r="J9" i="5" s="1"/>
  <c r="H8" i="5"/>
  <c r="I8" i="5" s="1"/>
  <c r="J8" i="5" s="1"/>
  <c r="H7" i="5"/>
  <c r="I7" i="5" s="1"/>
  <c r="J7" i="5" s="1"/>
  <c r="H5" i="5"/>
  <c r="H3" i="5"/>
  <c r="J114" i="28"/>
  <c r="J118" i="28" s="1"/>
  <c r="G58" i="28"/>
  <c r="J58" i="28" s="1"/>
  <c r="G57" i="28"/>
  <c r="J56" i="28" s="1"/>
  <c r="J54" i="28"/>
  <c r="J51" i="28"/>
  <c r="J93" i="28" s="1"/>
  <c r="J21" i="28"/>
  <c r="K90" i="39" l="1"/>
  <c r="K91" i="39"/>
  <c r="K88" i="40"/>
  <c r="K86" i="39"/>
  <c r="J30" i="37"/>
  <c r="J29" i="37"/>
  <c r="K88" i="37" s="1"/>
  <c r="K94" i="38"/>
  <c r="J99" i="38" s="1"/>
  <c r="J100" i="38" s="1"/>
  <c r="J126" i="38" s="1"/>
  <c r="K75" i="39"/>
  <c r="J137" i="39"/>
  <c r="K38" i="39"/>
  <c r="K89" i="39"/>
  <c r="K80" i="39"/>
  <c r="K78" i="39"/>
  <c r="J34" i="39"/>
  <c r="J123" i="39" s="1"/>
  <c r="K39" i="39"/>
  <c r="J136" i="39" s="1"/>
  <c r="K79" i="39"/>
  <c r="K93" i="39"/>
  <c r="K80" i="40"/>
  <c r="J137" i="40"/>
  <c r="K90" i="40"/>
  <c r="K38" i="40"/>
  <c r="K39" i="40"/>
  <c r="J136" i="40" s="1"/>
  <c r="K75" i="40"/>
  <c r="K87" i="40"/>
  <c r="J34" i="40"/>
  <c r="J123" i="40" s="1"/>
  <c r="K78" i="40"/>
  <c r="K89" i="40"/>
  <c r="K91" i="40"/>
  <c r="K93" i="40"/>
  <c r="J94" i="40"/>
  <c r="K79" i="40"/>
  <c r="K76" i="38"/>
  <c r="J76" i="38" s="1"/>
  <c r="K77" i="38"/>
  <c r="K40" i="38"/>
  <c r="J138" i="38" s="1"/>
  <c r="J135" i="38"/>
  <c r="J26" i="28"/>
  <c r="J79" i="28"/>
  <c r="F19" i="6"/>
  <c r="I3" i="5"/>
  <c r="H12" i="5"/>
  <c r="L19" i="5"/>
  <c r="M16" i="5"/>
  <c r="I5" i="5"/>
  <c r="J5" i="5" s="1"/>
  <c r="K38" i="37" l="1"/>
  <c r="K93" i="37"/>
  <c r="K89" i="37"/>
  <c r="J34" i="37"/>
  <c r="J123" i="37" s="1"/>
  <c r="K39" i="37"/>
  <c r="J136" i="37" s="1"/>
  <c r="K87" i="37"/>
  <c r="K90" i="37"/>
  <c r="K78" i="37"/>
  <c r="K86" i="37"/>
  <c r="K75" i="37"/>
  <c r="K80" i="37"/>
  <c r="K91" i="37"/>
  <c r="K79" i="37"/>
  <c r="J137" i="37"/>
  <c r="J135" i="39"/>
  <c r="K40" i="39"/>
  <c r="J138" i="39" s="1"/>
  <c r="K94" i="39"/>
  <c r="J99" i="39" s="1"/>
  <c r="J100" i="39" s="1"/>
  <c r="J126" i="39" s="1"/>
  <c r="K76" i="39"/>
  <c r="J76" i="39" s="1"/>
  <c r="K77" i="39"/>
  <c r="J135" i="40"/>
  <c r="K40" i="40"/>
  <c r="J138" i="40" s="1"/>
  <c r="K77" i="40"/>
  <c r="K76" i="40"/>
  <c r="J76" i="40" s="1"/>
  <c r="K94" i="40"/>
  <c r="J99" i="40" s="1"/>
  <c r="J100" i="40" s="1"/>
  <c r="J126" i="40" s="1"/>
  <c r="J135" i="37"/>
  <c r="K76" i="37"/>
  <c r="J76" i="37" s="1"/>
  <c r="K77" i="37"/>
  <c r="J81" i="38"/>
  <c r="J125" i="38" s="1"/>
  <c r="J68" i="38"/>
  <c r="J139" i="38"/>
  <c r="K140" i="38" s="1"/>
  <c r="G10" i="7" s="1"/>
  <c r="H10" i="7" s="1"/>
  <c r="K46" i="38"/>
  <c r="K49" i="38"/>
  <c r="K47" i="38"/>
  <c r="K50" i="38"/>
  <c r="K43" i="38"/>
  <c r="K45" i="38"/>
  <c r="K48" i="38"/>
  <c r="K44" i="38"/>
  <c r="J27" i="28"/>
  <c r="G55" i="28"/>
  <c r="J55" i="28" s="1"/>
  <c r="J63" i="28" s="1"/>
  <c r="J70" i="28" s="1"/>
  <c r="G8" i="6"/>
  <c r="G19" i="6"/>
  <c r="M19" i="5"/>
  <c r="N16" i="5"/>
  <c r="N19" i="5" s="1"/>
  <c r="J3" i="5"/>
  <c r="J12" i="5" s="1"/>
  <c r="I12" i="5"/>
  <c r="H19" i="6"/>
  <c r="I19" i="6"/>
  <c r="H8" i="6"/>
  <c r="I8" i="6"/>
  <c r="K94" i="37" l="1"/>
  <c r="J99" i="37" s="1"/>
  <c r="J100" i="37" s="1"/>
  <c r="J126" i="37" s="1"/>
  <c r="J106" i="40"/>
  <c r="J106" i="39"/>
  <c r="J106" i="38"/>
  <c r="J106" i="37"/>
  <c r="J105" i="37"/>
  <c r="J105" i="39"/>
  <c r="J105" i="38"/>
  <c r="J105" i="40"/>
  <c r="K91" i="28"/>
  <c r="J94" i="28"/>
  <c r="J81" i="39"/>
  <c r="J125" i="39" s="1"/>
  <c r="K40" i="37"/>
  <c r="J81" i="37"/>
  <c r="J125" i="37" s="1"/>
  <c r="J30" i="28"/>
  <c r="J29" i="28"/>
  <c r="K88" i="28" s="1"/>
  <c r="J139" i="40"/>
  <c r="K140" i="40" s="1"/>
  <c r="G7" i="7" s="1"/>
  <c r="H7" i="7" s="1"/>
  <c r="K44" i="39"/>
  <c r="K47" i="39"/>
  <c r="K45" i="39"/>
  <c r="J68" i="39"/>
  <c r="K48" i="39"/>
  <c r="K49" i="39"/>
  <c r="K43" i="39"/>
  <c r="K46" i="39"/>
  <c r="K50" i="39"/>
  <c r="J139" i="39"/>
  <c r="K140" i="39" s="1"/>
  <c r="G8" i="7" s="1"/>
  <c r="H8" i="7" s="1"/>
  <c r="K50" i="40"/>
  <c r="K43" i="40"/>
  <c r="K45" i="40"/>
  <c r="K47" i="40"/>
  <c r="K48" i="40"/>
  <c r="K44" i="40"/>
  <c r="K49" i="40"/>
  <c r="K46" i="40"/>
  <c r="J68" i="40"/>
  <c r="J81" i="40"/>
  <c r="J125" i="40" s="1"/>
  <c r="K51" i="38"/>
  <c r="J69" i="38" s="1"/>
  <c r="J71" i="38" s="1"/>
  <c r="J124" i="38" s="1"/>
  <c r="I21" i="6"/>
  <c r="J106" i="28"/>
  <c r="J105" i="28"/>
  <c r="K89" i="28" l="1"/>
  <c r="J104" i="37"/>
  <c r="J108" i="37" s="1"/>
  <c r="J127" i="37" s="1"/>
  <c r="J104" i="39"/>
  <c r="J108" i="39" s="1"/>
  <c r="J127" i="39" s="1"/>
  <c r="J104" i="38"/>
  <c r="J108" i="38" s="1"/>
  <c r="J127" i="38" s="1"/>
  <c r="J104" i="40"/>
  <c r="J108" i="40" s="1"/>
  <c r="J127" i="40" s="1"/>
  <c r="K78" i="28"/>
  <c r="J128" i="38"/>
  <c r="K86" i="28"/>
  <c r="J137" i="28"/>
  <c r="K93" i="28"/>
  <c r="J138" i="37"/>
  <c r="J139" i="37" s="1"/>
  <c r="K140" i="37" s="1"/>
  <c r="G11" i="7" s="1"/>
  <c r="H11" i="7" s="1"/>
  <c r="K44" i="37"/>
  <c r="K43" i="37"/>
  <c r="K50" i="37"/>
  <c r="K48" i="37"/>
  <c r="K47" i="37"/>
  <c r="K49" i="37"/>
  <c r="K46" i="37"/>
  <c r="K45" i="37"/>
  <c r="K38" i="28"/>
  <c r="K75" i="28"/>
  <c r="K80" i="28"/>
  <c r="K87" i="28"/>
  <c r="K90" i="28"/>
  <c r="K39" i="28"/>
  <c r="K79" i="28"/>
  <c r="J68" i="37"/>
  <c r="K51" i="39"/>
  <c r="J69" i="39" s="1"/>
  <c r="J71" i="39" s="1"/>
  <c r="J124" i="39" s="1"/>
  <c r="J128" i="39" s="1"/>
  <c r="K51" i="40"/>
  <c r="J69" i="40" s="1"/>
  <c r="J71" i="40" s="1"/>
  <c r="J124" i="40" s="1"/>
  <c r="J128" i="40" s="1"/>
  <c r="K112" i="38"/>
  <c r="K113" i="38" s="1"/>
  <c r="K118" i="38"/>
  <c r="J129" i="38" s="1"/>
  <c r="J104" i="28"/>
  <c r="J108" i="28" s="1"/>
  <c r="J127" i="28" s="1"/>
  <c r="K51" i="37" l="1"/>
  <c r="J69" i="37" s="1"/>
  <c r="J71" i="37" s="1"/>
  <c r="J124" i="37" s="1"/>
  <c r="J128" i="37" s="1"/>
  <c r="K118" i="37" s="1"/>
  <c r="J129" i="37" s="1"/>
  <c r="J130" i="38"/>
  <c r="K131" i="38" s="1"/>
  <c r="E10" i="7" s="1"/>
  <c r="F10" i="7" s="1"/>
  <c r="K112" i="39"/>
  <c r="K118" i="39"/>
  <c r="J129" i="39" s="1"/>
  <c r="K118" i="40"/>
  <c r="J129" i="40" s="1"/>
  <c r="J130" i="40" s="1"/>
  <c r="K112" i="40"/>
  <c r="K117" i="38"/>
  <c r="K115" i="38"/>
  <c r="K116" i="38"/>
  <c r="D12" i="7"/>
  <c r="K112" i="37" l="1"/>
  <c r="K113" i="37" s="1"/>
  <c r="K117" i="37" s="1"/>
  <c r="J130" i="37"/>
  <c r="K131" i="37" s="1"/>
  <c r="E11" i="7" s="1"/>
  <c r="F11" i="7" s="1"/>
  <c r="J10" i="7"/>
  <c r="I10" i="7"/>
  <c r="J130" i="39"/>
  <c r="K131" i="39" s="1"/>
  <c r="E8" i="7" s="1"/>
  <c r="F8" i="7" s="1"/>
  <c r="K131" i="40"/>
  <c r="E7" i="7" s="1"/>
  <c r="F7" i="7" s="1"/>
  <c r="K113" i="39"/>
  <c r="K117" i="39" s="1"/>
  <c r="K113" i="40"/>
  <c r="K117" i="40" s="1"/>
  <c r="J34" i="28"/>
  <c r="J11" i="7" l="1"/>
  <c r="I11" i="7"/>
  <c r="I8" i="7"/>
  <c r="J8" i="7"/>
  <c r="J7" i="7"/>
  <c r="I7" i="7"/>
  <c r="K115" i="40"/>
  <c r="K115" i="39"/>
  <c r="K116" i="39"/>
  <c r="K116" i="40"/>
  <c r="K116" i="37"/>
  <c r="K115" i="37"/>
  <c r="J123" i="28"/>
  <c r="J136" i="28"/>
  <c r="J135" i="28" l="1"/>
  <c r="K40" i="28"/>
  <c r="K94" i="28"/>
  <c r="J99" i="28" s="1"/>
  <c r="J100" i="28" s="1"/>
  <c r="J126" i="28" s="1"/>
  <c r="J138" i="28" l="1"/>
  <c r="J139" i="28" s="1"/>
  <c r="K140" i="28" s="1"/>
  <c r="G9" i="7" s="1"/>
  <c r="H9" i="7" s="1"/>
  <c r="G12" i="7" s="1"/>
  <c r="K46" i="28"/>
  <c r="K47" i="28"/>
  <c r="K44" i="28"/>
  <c r="K43" i="28"/>
  <c r="K48" i="28"/>
  <c r="K50" i="28"/>
  <c r="K49" i="28"/>
  <c r="K45" i="28"/>
  <c r="K76" i="28"/>
  <c r="J76" i="28" s="1"/>
  <c r="K77" i="28"/>
  <c r="J68" i="28"/>
  <c r="K51" i="28" l="1"/>
  <c r="J69" i="28" s="1"/>
  <c r="J71" i="28" s="1"/>
  <c r="J124" i="28" s="1"/>
  <c r="J81" i="28"/>
  <c r="J125" i="28" s="1"/>
  <c r="J128" i="28" l="1"/>
  <c r="K118" i="28" l="1"/>
  <c r="J129" i="28" s="1"/>
  <c r="J130" i="28" s="1"/>
  <c r="K112" i="28"/>
  <c r="K113" i="28" s="1"/>
  <c r="K117" i="28" s="1"/>
  <c r="K131" i="28" l="1"/>
  <c r="E9" i="7" s="1"/>
  <c r="F9" i="7" s="1"/>
  <c r="K115" i="28"/>
  <c r="K116" i="28"/>
  <c r="I9" i="7" l="1"/>
  <c r="J9" i="7"/>
  <c r="E12" i="7"/>
  <c r="I12" i="7" l="1"/>
  <c r="J12" i="7"/>
</calcChain>
</file>

<file path=xl/sharedStrings.xml><?xml version="1.0" encoding="utf-8"?>
<sst xmlns="http://schemas.openxmlformats.org/spreadsheetml/2006/main" count="1535" uniqueCount="346">
  <si>
    <t xml:space="preserve">PLANILHA DE CUSTOS E FORMAÇÃO DE PREÇOS </t>
  </si>
  <si>
    <t xml:space="preserve">Processo nº: </t>
  </si>
  <si>
    <t>A</t>
  </si>
  <si>
    <t>B</t>
  </si>
  <si>
    <t>C</t>
  </si>
  <si>
    <t>D</t>
  </si>
  <si>
    <t>Nº de meses de execução contratual</t>
  </si>
  <si>
    <t>IDENTIFICAÇÃO DO SERVIÇO</t>
  </si>
  <si>
    <t>Unidade de medida</t>
  </si>
  <si>
    <t>Posto</t>
  </si>
  <si>
    <t>Valor (R$)</t>
  </si>
  <si>
    <t>E</t>
  </si>
  <si>
    <t>F</t>
  </si>
  <si>
    <t>Insumos Diversos</t>
  </si>
  <si>
    <t>Uniformes</t>
  </si>
  <si>
    <t>Materiais</t>
  </si>
  <si>
    <t>Equipamentos</t>
  </si>
  <si>
    <t>4.1</t>
  </si>
  <si>
    <t>INSS</t>
  </si>
  <si>
    <t>SENAI ou SENAC</t>
  </si>
  <si>
    <t>INCRA</t>
  </si>
  <si>
    <t>Salário Educação</t>
  </si>
  <si>
    <t>FGTS</t>
  </si>
  <si>
    <t>G</t>
  </si>
  <si>
    <t>H</t>
  </si>
  <si>
    <t>SEBRAE</t>
  </si>
  <si>
    <t>Incidência do FGTS sobre o Aviso Prévio Indenizado</t>
  </si>
  <si>
    <t>Custos Indiretos, Tributos e Lucro</t>
  </si>
  <si>
    <t>Lucro</t>
  </si>
  <si>
    <t>Tributos</t>
  </si>
  <si>
    <t>PIS</t>
  </si>
  <si>
    <t>COFINS</t>
  </si>
  <si>
    <t>ISS</t>
  </si>
  <si>
    <t>QUADRO RESUMO DO CUSTO POR EMPREGADO</t>
  </si>
  <si>
    <t>Módulo 1 - Composição da Remuneração</t>
  </si>
  <si>
    <t>RESUMO</t>
  </si>
  <si>
    <t>Item</t>
  </si>
  <si>
    <t>TOTAL</t>
  </si>
  <si>
    <t>MATERIAIS</t>
  </si>
  <si>
    <t>ITEM</t>
  </si>
  <si>
    <t>INSUMOS DIVERSOS</t>
  </si>
  <si>
    <t>COTAÇÃO 1</t>
  </si>
  <si>
    <t>COTAÇÃO 2</t>
  </si>
  <si>
    <t>COTAÇÃO 3</t>
  </si>
  <si>
    <t>EQUIPAMENTOS</t>
  </si>
  <si>
    <t>EQUIPAMENTO</t>
  </si>
  <si>
    <t>DESCRIÇÃO</t>
  </si>
  <si>
    <t>Qtde</t>
  </si>
  <si>
    <t>Valor Unitário</t>
  </si>
  <si>
    <t>Valor Mensal</t>
  </si>
  <si>
    <t>VALOR TOTAL POR POSTO</t>
  </si>
  <si>
    <t>Módulo 6 – Custos indiretos, tributos e lucro</t>
  </si>
  <si>
    <t>SUBTOTAL (A+B+C+D+E)</t>
  </si>
  <si>
    <t>Módulo 5 – Insumos Diversos</t>
  </si>
  <si>
    <t>Módulo 4 – Custo de Reposição do Profissional Ausente</t>
  </si>
  <si>
    <t>Módulo 3 - Provisão para rescisão</t>
  </si>
  <si>
    <t>Módulo 2 - Encargos e Benefícios Anuais, Mensais e Diários</t>
  </si>
  <si>
    <t>Mão-de-obra vinculada  à execução contratual (valor por empregado)</t>
  </si>
  <si>
    <t>Tibutos Municipais</t>
  </si>
  <si>
    <t>C.3</t>
  </si>
  <si>
    <t>C.2</t>
  </si>
  <si>
    <t>Tributos Federais</t>
  </si>
  <si>
    <t>C.1</t>
  </si>
  <si>
    <t>Custos indiretos</t>
  </si>
  <si>
    <t>(%)</t>
  </si>
  <si>
    <t>MÓDULO 6: CUSTOS INDIRETOS, TRIBUTOS E LUCRO</t>
  </si>
  <si>
    <t>I</t>
  </si>
  <si>
    <t>MÓDULO 05: INSUMOS DIVERSOS</t>
  </si>
  <si>
    <t xml:space="preserve">TOTAL </t>
  </si>
  <si>
    <t>Substituto nas Ausência Legais</t>
  </si>
  <si>
    <t>Encargos e Benefícios Anuais, Mensais e Diários</t>
  </si>
  <si>
    <t>QUADRO RESUMO DO MÓDULO 4 - CUSTO DE REPOSIÇÃO DO PROFISSIONAL AUSENTE</t>
  </si>
  <si>
    <t>Substituto na Cobertura das Ausências por Acidente de Trabalho</t>
  </si>
  <si>
    <t>Substituto na Cobertura de Férias</t>
  </si>
  <si>
    <t>Substituto nas Ausências Legais</t>
  </si>
  <si>
    <t>Submódulo 4.1 - Ausências Legais</t>
  </si>
  <si>
    <t>MÓDULO 04: CUSTO DE REPOSIÇÃO DO PROFISSIONAL AUSENTE</t>
  </si>
  <si>
    <t>Multa do FGTS e contribuição social sobre o Aviso Prévio Trabalhado</t>
  </si>
  <si>
    <t>Incidência dos encargos do submódulo 2.2 sobre o Aviso Prévio Trabalhado</t>
  </si>
  <si>
    <t xml:space="preserve">MÓDULO 03: PROVISÃO PARA RESCISÃO </t>
  </si>
  <si>
    <t>Benefícios Mensais e Diários</t>
  </si>
  <si>
    <t>2.3</t>
  </si>
  <si>
    <t>GPS, FGTS e outras contribuições</t>
  </si>
  <si>
    <t>2.2</t>
  </si>
  <si>
    <t>13º (décimo terceiro) Salário e Adicional de Férias</t>
  </si>
  <si>
    <t>2.1</t>
  </si>
  <si>
    <t>QUADRO RESUMO DO MÓDULO 2 - ENCARGOS E BENEFÍCIOS ANUAIS, MENSAIS E DIÁRIOS</t>
  </si>
  <si>
    <t>S</t>
  </si>
  <si>
    <t>Desconto</t>
  </si>
  <si>
    <t>Dias</t>
  </si>
  <si>
    <t>Valor</t>
  </si>
  <si>
    <t>SIM/NÃO</t>
  </si>
  <si>
    <t>Passagens</t>
  </si>
  <si>
    <t>Transporte</t>
  </si>
  <si>
    <t>Submódulo 2.3 - Benefícios Mensais e Diários</t>
  </si>
  <si>
    <t>SESC ou SESI</t>
  </si>
  <si>
    <t>Submódulo 2.2 - Encargos previdenciários (GPS), Fundo de Garantia por Tempo de Serviço (FGTS) e outras contribuições</t>
  </si>
  <si>
    <t xml:space="preserve">13º salário </t>
  </si>
  <si>
    <t>MÓDULO 02: ENCARGOS E BENEFÍCIOS ANUAIS, MENSAIS E DIÁRIOS</t>
  </si>
  <si>
    <t>TOTAL DA REMUNERAÇÃO</t>
  </si>
  <si>
    <t>Outros (especificar)</t>
  </si>
  <si>
    <t>Adicional de hora extra no feriado</t>
  </si>
  <si>
    <t xml:space="preserve">Hora noturna adicional - ou hora noturna reduzida </t>
  </si>
  <si>
    <t>Adicional noturno</t>
  </si>
  <si>
    <t>N</t>
  </si>
  <si>
    <t>Sim/Não</t>
  </si>
  <si>
    <t>Adicional de insalubridade</t>
  </si>
  <si>
    <t>Adicional de periculosidade</t>
  </si>
  <si>
    <t>Composição da remuneração</t>
  </si>
  <si>
    <t>MÓDULO 01: COMPOSIÇÃO DA REMUNERAÇÃO</t>
  </si>
  <si>
    <t>Data base da categoria</t>
  </si>
  <si>
    <t xml:space="preserve">Categoria profissional </t>
  </si>
  <si>
    <t>Salário Normativo da Categoria Profissional</t>
  </si>
  <si>
    <t>Classificação Brasileira de Ocupações (CBO)</t>
  </si>
  <si>
    <t>Tipo do serviço</t>
  </si>
  <si>
    <t>Dados complementares para composição dos custos referente à mão-de-obra</t>
  </si>
  <si>
    <t>MÃO-DE-OBRA VINCULADA À EXECUÇÃO CONTRATUAL</t>
  </si>
  <si>
    <t>Cargo:</t>
  </si>
  <si>
    <t>Quantidade total a contratar (em função da unidade de medida):</t>
  </si>
  <si>
    <t>Ano Acordo, Convenção ou Sentença Normativa em Dissídio Coletivo</t>
  </si>
  <si>
    <t>Rio de Janeiro/RJ</t>
  </si>
  <si>
    <t>Município/ UF</t>
  </si>
  <si>
    <t>Data de apresentação da proposta (dia/mês/ano)</t>
  </si>
  <si>
    <t>DISCRIMINAÇÃO DOS SERVIÇOS (DADOS REFERENTES À CONTRATAÇÃO)</t>
  </si>
  <si>
    <t>Data do Pregão:</t>
  </si>
  <si>
    <t xml:space="preserve">Pregão </t>
  </si>
  <si>
    <t>Seguro Acidente do Trabalho (SAT)</t>
  </si>
  <si>
    <t>PRODUTO</t>
  </si>
  <si>
    <t>CALÇA</t>
  </si>
  <si>
    <t>CAMISA</t>
  </si>
  <si>
    <t>CINTO</t>
  </si>
  <si>
    <t>Cinto em couro, na cor preta, sem costura, fivela em metal, com garra regulável. </t>
  </si>
  <si>
    <t>MEIA</t>
  </si>
  <si>
    <t>SAPATO</t>
  </si>
  <si>
    <t>QTDE ANUAL</t>
  </si>
  <si>
    <t xml:space="preserve">QUANTIDADE </t>
  </si>
  <si>
    <t>QUANTIDADE</t>
  </si>
  <si>
    <t>Substituto na Cobertura de Licença Paternidade</t>
  </si>
  <si>
    <t>Subtotal</t>
  </si>
  <si>
    <t>Camisa social de manga longa e colarinho rígido, na cor branca, com abotoamento frontal, no tecido 65% Algodão, 30% poliéster e 3% elastano, com emblema da empresa bordado. </t>
  </si>
  <si>
    <t xml:space="preserve">DEPRECIAÇÃO 
(VALOR RESIDUAL DE 20%) </t>
  </si>
  <si>
    <t xml:space="preserve">VALOR TOTAL </t>
  </si>
  <si>
    <t xml:space="preserve">CUSTO MENSAL </t>
  </si>
  <si>
    <t>CUSTO ANUAL 
(10 ANOS DE USO)</t>
  </si>
  <si>
    <t>Plano de Assistência Médica</t>
  </si>
  <si>
    <t>Local</t>
  </si>
  <si>
    <t>SEDE (SR/PF/RJ)</t>
  </si>
  <si>
    <t>VALOR ANUAL</t>
  </si>
  <si>
    <t>CUSTO MENSAL</t>
  </si>
  <si>
    <t>VALOR 30 MESES</t>
  </si>
  <si>
    <t>VALORES RETIDOS PARA A CONTA VINCULADA</t>
  </si>
  <si>
    <t>Mão-de-Obra vinculada à execução contratual (valor por empregado)</t>
  </si>
  <si>
    <t>PREÇO TOTAL POR EMPREGADO</t>
  </si>
  <si>
    <t>VALOR TOTAL</t>
  </si>
  <si>
    <t>RETIDO NA CONTA VINCULADA</t>
  </si>
  <si>
    <t xml:space="preserve">Auxílio-Alimentação </t>
  </si>
  <si>
    <t>Auxílio-Refeição</t>
  </si>
  <si>
    <t>Lei Estadual nº 5.628/2009</t>
  </si>
  <si>
    <t>Lei Estadual nº 8.297/2019</t>
  </si>
  <si>
    <t>Decreto Estadual nº 42.262/2010</t>
  </si>
  <si>
    <t>Acórdão RI Lei Estadual 8.297/2019</t>
  </si>
  <si>
    <t xml:space="preserve">Férias e Adicional de Férias </t>
  </si>
  <si>
    <t xml:space="preserve">Submódulo 2.1 - 13º (décimo terceiro) salário, férias, adicional de férias e multa recisória </t>
  </si>
  <si>
    <t xml:space="preserve">13º salário, férias, adicional de férias e multa recisória </t>
  </si>
  <si>
    <t>Salário-base</t>
  </si>
  <si>
    <t xml:space="preserve">N° DE REGISTRO NO MTE: RJ000186/2024 </t>
  </si>
  <si>
    <t>Auxílio-Creche</t>
  </si>
  <si>
    <t>Seguro de vida, invalidez e funeral</t>
  </si>
  <si>
    <t xml:space="preserve">Outros (Auxílio Familiar ao Trabalhador) </t>
  </si>
  <si>
    <t>Provisão para Rescisão sobre o Módulo 1</t>
  </si>
  <si>
    <t>VIG 44 H SRRJ</t>
  </si>
  <si>
    <t>VIG 12 X 36 H NOTURNO SRRJ</t>
  </si>
  <si>
    <t xml:space="preserve">VIG 12 X 36 H DIURNO </t>
  </si>
  <si>
    <t xml:space="preserve">VIG 12 X 36 H NOTURNO </t>
  </si>
  <si>
    <t>Depósito de Veículos (GIG)</t>
  </si>
  <si>
    <t xml:space="preserve">Intervalo intrajornada de refeições** </t>
  </si>
  <si>
    <t>Valor****</t>
  </si>
  <si>
    <t>Legislação****</t>
  </si>
  <si>
    <t>Vigilante 12 x 36 Noturno SRRJ</t>
  </si>
  <si>
    <t>CUSTO ANUAL</t>
  </si>
  <si>
    <t>CUSTO MENSAL POR POSTO</t>
  </si>
  <si>
    <t>GRAVATA</t>
  </si>
  <si>
    <t xml:space="preserve">Gravata em tecido liso, de cor preta, 100% poliéster ou 100% seda. </t>
  </si>
  <si>
    <t>UNIFORME OSTENSIVO</t>
  </si>
  <si>
    <t>Calça confeccionada no tecido de boa qualidade, com costura reforçada, resistente ao desbotamento e confortável.</t>
  </si>
  <si>
    <t>COTURNO</t>
  </si>
  <si>
    <t>JAPONA</t>
  </si>
  <si>
    <t xml:space="preserve">MEIA </t>
  </si>
  <si>
    <t>LUVA</t>
  </si>
  <si>
    <t xml:space="preserve">TOUCA </t>
  </si>
  <si>
    <t>Touca de lã sem dobra, na cor preta, com possibilidade de ajuste de tamanho.</t>
  </si>
  <si>
    <t>VALOR TOTAL POR VIGILANTE</t>
  </si>
  <si>
    <t xml:space="preserve">CUSTO </t>
  </si>
  <si>
    <t>CUSTO MENSAL POR VIGILANTE</t>
  </si>
  <si>
    <t>Lanterna tática recarregável (mínimo 900 lumens e 12cm de comprimento)</t>
  </si>
  <si>
    <t>Livro de ocorrência (modelo atas, 200 folhas)</t>
  </si>
  <si>
    <t>Garrafa Individual para consumo de água, capacidade de 500 ml</t>
  </si>
  <si>
    <t>Garrafa Térmica - Café/Chá, capacidade de 1L</t>
  </si>
  <si>
    <t>CUSTO ANUAL POR VIGILANTE</t>
  </si>
  <si>
    <t xml:space="preserve">CAPA DE CHUVA </t>
  </si>
  <si>
    <t>A Capa de Chuva SAMU é confeccionada em tecido 100% poliamida, na cor azul-marinho, no modelo 7/8, sendo emborrachada e impermeável. Possui faixas refletivas prateadas de 50mm, para garantir a segurança do usuário em ambientes com pouca luz. O capuz é regulável com cordão e fica guardado dentro da gola, e a capa tem fechamento frontal com zíper protegido por aba fechada com velcro. Os punhos são de elástico e possuem aberturas acima da faixa refletiva para ventilação, proporcionando maior conforto; a Capa de Chuva também conta com a logomarca da empresa silkada no peito, lado esquerdo, nas costas e mangas, para identificação e reconhecimento rápido em situações de emergência. Além disso, pode ser dobrada e compactada, facilitando o transporte e armazenamento; C.A emitido pelo  M.T.E com validade de 05 anos; deve possuir aberturas ambidestras para o saque da arma; os tamanhos devem ser personalizados para cada usuário (entre PP, P, M, G, GG ou XXXG); padrão SAMU ou padrão EB.</t>
  </si>
  <si>
    <t>Par de meia no tecido de poliamida, cano longo, cor preta.</t>
  </si>
  <si>
    <t>Par de sapato social masculino, material em couro legítimo ou similar, cor preta, com cadarço e antiderrapante. </t>
  </si>
  <si>
    <t>Par de meia no tecido de algodão, cano longo, cor preta. Pacote com 3 pares.</t>
  </si>
  <si>
    <t>Par de luva tática com palma em couro pittards, strech e airprene para conforto, sistema de ventilação, proteção metacarpo, na cor preta, com ajustador em velcro.</t>
  </si>
  <si>
    <t>Revólver calibre .38" SPL, seis tiros</t>
  </si>
  <si>
    <t>Munição calibre .38" SPL (10 unidades)</t>
  </si>
  <si>
    <t>TERNO</t>
  </si>
  <si>
    <t>Terno Tipo Tecido: 81% Poliéster, 13% Viscose, 6% Elastano , Tipo: Blazer E Calça , Quantidade Bolsos: 6 , Tamanho: Sob Medida , Características Adicionais: Manga Com 4 Botões Em Cada Lado</t>
  </si>
  <si>
    <t>Camisa uniforme confeccionada no tecido de boa qualidade, com costura reforçada, resistente ao desbotamento e confortável, manga curta, 62% algodão / 35% poliéster / 03% elastano.</t>
  </si>
  <si>
    <t>Par de coturno em couro legítimo, admitindo-se a combinação com outro material resistente, forrado com tecido confortável, com solado em borracha antiderrapante, resistente à água, palmilha de gel, com passadores de cadarço, com zíper na lateral.</t>
  </si>
  <si>
    <t xml:space="preserve">Colete balístico ostensivo à prova de bala, proteção nível II-A, material Kevlar. O colete deverá cobrir a parte frontal, dorsal e lateral. </t>
  </si>
  <si>
    <t>Celular corporativo (especificações mínimas: 128GB de memória, tecnologia 4G, Câmera de 16 MP e bateria de 4020 mAh), com CHIP do tipo 4G ou 5G, compatível com o telefone fornecido, com plano mensal de capacidade mínima de 9GB de internet.</t>
  </si>
  <si>
    <t xml:space="preserve">CATMAT </t>
  </si>
  <si>
    <t>CATMAT</t>
  </si>
  <si>
    <t xml:space="preserve">	614117</t>
  </si>
  <si>
    <t xml:space="preserve">	458144</t>
  </si>
  <si>
    <t xml:space="preserve">	446489</t>
  </si>
  <si>
    <t xml:space="preserve">	437823</t>
  </si>
  <si>
    <t>Caneca Individual em cerâmica, capacidade de 325ml</t>
  </si>
  <si>
    <t xml:space="preserve">PERÍODO DE SUBSTITUIÇÃO </t>
  </si>
  <si>
    <t xml:space="preserve">A cada 24 meses ou se der defeito.  </t>
  </si>
  <si>
    <t xml:space="preserve">A cada 30 meses ou se der defeito. </t>
  </si>
  <si>
    <t xml:space="preserve">A cada 30 meses ou se der defeito.  </t>
  </si>
  <si>
    <t xml:space="preserve">A cada 12 meses ou se estiver oxidada. </t>
  </si>
  <si>
    <t xml:space="preserve">Quando estiver preenchido. </t>
  </si>
  <si>
    <t xml:space="preserve">Se der defeito. </t>
  </si>
  <si>
    <t xml:space="preserve">Se der defeito ou tiver a tecnologia descontinuada.  </t>
  </si>
  <si>
    <t xml:space="preserve">A cada 12 meses ou em caso de desgaste prematuro. </t>
  </si>
  <si>
    <t xml:space="preserve">A cada 12 meses ou em caso de desgaste prematuro.  </t>
  </si>
  <si>
    <t xml:space="preserve">A cada 60 meses ou em caso de desgaste prematuro ou estiver com a validade vencida. </t>
  </si>
  <si>
    <t>UNIFORME SOCIAL</t>
  </si>
  <si>
    <t xml:space="preserve">Cinto operacional com cartucheira para dez munições de .38" SPL e coldre saque rápido para revólver calibre .38" de capacidade de seis munições. </t>
  </si>
  <si>
    <t xml:space="preserve">Coldre axilar ou velado para uniforme social. </t>
  </si>
  <si>
    <t>VALOR MEDIANO</t>
  </si>
  <si>
    <t xml:space="preserve">FONTE DE PESQUISA </t>
  </si>
  <si>
    <t>Pesquisa de Preços Nº 5/2024</t>
  </si>
  <si>
    <t>Pesquisa de Preços Nº 5/204</t>
  </si>
  <si>
    <t xml:space="preserve">Relógio de Ponto Biométrico Facial </t>
  </si>
  <si>
    <t>Japona em tecido de alta resistência, com costura reforçada, forrada com tecido confortável, ideal para as temperaturas baixas e abertura frontal em zíper.</t>
  </si>
  <si>
    <t>Memória de Cálculo</t>
  </si>
  <si>
    <t>Observações</t>
  </si>
  <si>
    <t>Salário base</t>
  </si>
  <si>
    <t>Piso Salarial da Categoria Profissional ou, na ausência deste, Salário Mínimo</t>
  </si>
  <si>
    <t>Salário Base x 30%</t>
  </si>
  <si>
    <t>Salário Mínimo x Enquadramento (10%; 20% ou 40%)</t>
  </si>
  <si>
    <t>Art. 7°, Inciso XXIII da Constituição Federal de 1988.</t>
  </si>
  <si>
    <t>Remuneração x 20%</t>
  </si>
  <si>
    <t>Art. 7°, Inciso IX da Constituição Federal de 1988.</t>
  </si>
  <si>
    <t>Art. 7°, Inciso XVI da Constituição Federal de 1988.</t>
  </si>
  <si>
    <t>Submódulo 2.1 - 13º (décimo terceiro) salário e adicional de férias</t>
  </si>
  <si>
    <t>13º salário e adicional de férias</t>
  </si>
  <si>
    <t>Art. 22, Inciso I, Lei 8.212/1991</t>
  </si>
  <si>
    <t>Art. 15, Lei nº 8.036/1990
Art. 214, Decreto 3.048/1999</t>
  </si>
  <si>
    <t xml:space="preserve">Submódulo 2.3 - Benefícios Mensais e Diários </t>
  </si>
  <si>
    <t>(22 x 2 x Tarifa deTransporte Urbano) - (6% x Salário Básico)</t>
  </si>
  <si>
    <t>Art. 4º, Parágrafo Único, Lei 7.418/1985; Lei Estadual nº 5.628/2009; Lei Estadual nº 8.297/2019; Decreto Estadual nº 42.262/2010; Acórdão RI Lei Estadual 8.297/2019. 
Para fins de estimativa, considera-se a média de 22 dias úteis por mês e 2 passagens por dia</t>
  </si>
  <si>
    <t>Auxílio-Refeição/Alimentação</t>
  </si>
  <si>
    <t>Módulo 3 - Provisão para Rescisão</t>
  </si>
  <si>
    <t>Provisão para Rescisão</t>
  </si>
  <si>
    <t>Aviso Prévio Indenizado</t>
  </si>
  <si>
    <t>Aviso Prévio Trabalhado</t>
  </si>
  <si>
    <t>Encargos x % Aviso Prévio Trabalhado</t>
  </si>
  <si>
    <t>Substituto na cobertura de Ausências Legais</t>
  </si>
  <si>
    <t>Módulo 5 - Insumos Diversos</t>
  </si>
  <si>
    <t>[Aba Uniformes] Média do custo de uniforme feminino e masculino / 12</t>
  </si>
  <si>
    <t>[Aba Insumos e Equipamentos] 80% x Valor dos Equipamentos / 60 / qtde de empregados</t>
  </si>
  <si>
    <t>Estima-se uma vida útil de 5 anos (60 meses) para os relógios de ponto, considerando um valor residual de 20%.</t>
  </si>
  <si>
    <t>Aba Insumos e Equipamentos</t>
  </si>
  <si>
    <t>Custo estimado apenas para o posto de supervisor.
Estima-se a troca do aparelho celular a cada 2 anos (24 meses)</t>
  </si>
  <si>
    <t>22 x (benefício) x (0,2 x Benefício)</t>
  </si>
  <si>
    <t xml:space="preserve">Serão considerados os regime de escala dos trabalhadores para o auxílio refeição e um único dia para o auxílio alimentação. </t>
  </si>
  <si>
    <t>Auxílio Familiar ao Trabalhador</t>
  </si>
  <si>
    <t xml:space="preserve">CLÁUSULA DÉCIMA - DO AUXÍLIO FAMILIAR AO TRABALHADOR da CCT vigente. </t>
  </si>
  <si>
    <t>Tabela do item 14, Anexo XII, IN 05/2017</t>
  </si>
  <si>
    <t>Vide valor estabelecido pela IN 05/2017 - SEGES</t>
  </si>
  <si>
    <t>Substituto na Cobertura de Doenças</t>
  </si>
  <si>
    <t>Substituto na Cobertura das Ausências Legais</t>
  </si>
  <si>
    <t>13o (décimo terceiro) salário;</t>
  </si>
  <si>
    <t>Férias e 1/3 (um terço) constitucional de férias;</t>
  </si>
  <si>
    <t>Encargos sobre férias e 13o (décimo terceiro) salário.</t>
  </si>
  <si>
    <t>Vigilância Patrimonial</t>
  </si>
  <si>
    <t>MÓDULO 7: CONTA-DEPÓSITO VINCULADA - BLOQUEADA PARA MOVIMENTAÇÃO - ANEXO II, DA IN 05/2017</t>
  </si>
  <si>
    <t>Substituto na Cobertura de Afastamento por Doença</t>
  </si>
  <si>
    <t>Substituto na Cobertura de Acidente de Trabalho</t>
  </si>
  <si>
    <t>O valor pago ao substituto durante as férias do empregado já consta na remuneração (Módulo 1) e o valor pago ao empregado para fazer frente ao custo de suas férias acrescidas do terço constitucional já forai apuradas no item 2.1.b do submódulo 2.1. Portanto, não existe o custo a ser aportado nesta
rubrica.</t>
  </si>
  <si>
    <t>*</t>
  </si>
  <si>
    <t>Visando complementar o item C, do módulo 3.1, cujo total não pode ultrapassar 4%, fez- se a opção de dividir a alíquota entra multa para API (3,46%) e APT (0,65%)
(...)
b) No caso da Conta-Depósito Vinculada - Bloqueada para Movimentação, apresentado no item 14 do Anexo XII da IN nº 5, de 2017, com base no § 5º do art. 65 da Lei nº 8.666, de 21 de junho de 1993 (intervenção nossa), proceder a adequação de planilha de formação de preços, desde 1º de janeiro de 2020, referente à "Multa sobre FGTS e contribuição social sobre o aviso prévio indenizado e sobre o aviso prévio trabalhado". O percentual que antes era de 5%* (cinco por cento) passa a ser de 4% (quatro por cento
https://www.gov.br/compras/pt-br/agente-publico/orientacoes-e-procedimentos/26-extincao-da-contribuicao-social-de-10-sobre-o-fgts-e-os-contratos-administrativos</t>
  </si>
  <si>
    <t>Vide orientação 26  - Extinção da Contribuição Social de 10% sobre o FGTS e os contratos administrativos, emitida pelo Portal de Compras do Governo Federal</t>
  </si>
  <si>
    <r>
      <t xml:space="preserve"> % Encargos sobre APT = % do Submódulo 2.2  ×  % Aviso Prévio Trabalhado 
</t>
    </r>
    <r>
      <rPr>
        <b/>
        <sz val="11"/>
        <color theme="1"/>
        <rFont val="Calibri"/>
        <family val="2"/>
        <scheme val="minor"/>
      </rPr>
      <t>0,71</t>
    </r>
    <r>
      <rPr>
        <sz val="11"/>
        <color theme="1"/>
        <rFont val="Calibri"/>
        <family val="2"/>
        <scheme val="minor"/>
      </rPr>
      <t>% ≅ 36,80%* × 1,94%</t>
    </r>
    <r>
      <rPr>
        <b/>
        <sz val="11"/>
        <color theme="1"/>
        <rFont val="Calibri"/>
        <family val="2"/>
        <scheme val="minor"/>
      </rPr>
      <t xml:space="preserve"> </t>
    </r>
  </si>
  <si>
    <t>Onde: 
%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100% poderão ser demitidos, ao fim do contrato, sem a concessão de aviso prévio.
JURISPRUDÊNCIA – TCU
9.2.2. supressão do percentual de 1,94 % da Planilha de Custos dos Serviços Contratados, referente ao Aviso-Prévio Trabalhado, tendo em vista que os referidos custos consideram-se integralmente pagos no primeiro ano do Contrato, devendo ser zerado nos anos
subsequentes, nos termos do cálculo demonstrado quando da apreciação do Acórdão
TCU nº 1904/2007 – Plenário; (Acórdão 3.006/2010 – Plenário)</t>
  </si>
  <si>
    <r>
      <t xml:space="preserve">% APT = (7/30) ÷12 × 100 ≅ </t>
    </r>
    <r>
      <rPr>
        <b/>
        <sz val="11"/>
        <color theme="1"/>
        <rFont val="Calibri"/>
        <family val="2"/>
        <scheme val="minor"/>
      </rPr>
      <t>1,94%</t>
    </r>
  </si>
  <si>
    <r>
      <t xml:space="preserve">Visando complementar o item C, do módulo 3.1, cujo total não pode ultrapassar 4%, fez- se a opção de dividir a alíquota entra multa para API (3,46%) e APT (0,65%)
(...)
b) No caso da Conta-Depósito Vinculada - Bloqueada para Movimentação, apresentado no item 14 do Anexo XII da IN nº 5, de 2017, </t>
    </r>
    <r>
      <rPr>
        <strike/>
        <sz val="9"/>
        <color theme="1"/>
        <rFont val="Calibri"/>
        <family val="2"/>
        <scheme val="minor"/>
      </rPr>
      <t>com base no § 5º do art. 65 da Lei nº 8.666, de 21 de junho de 1993</t>
    </r>
    <r>
      <rPr>
        <sz val="9"/>
        <color theme="1"/>
        <rFont val="Calibri"/>
        <family val="2"/>
        <scheme val="minor"/>
      </rPr>
      <t xml:space="preserve"> (intervenção nossa), proceder a adequação de planilha de formação de preços, desde 1º de janeiro de 2020, referente à "Multa sobre FGTS e contribuição social sobre o aviso prévio indenizado e sobre o aviso prévio trabalhado". O percentual que antes era de 5%* (cinco por cento) passa a ser de 4% (quatro por cento
https://www.gov.br/compras/pt-br/agente-publico/orientacoes-e-procedimentos/26-extincao-da-contribuicao-social-de-10-sobre-o-fgts-e-os-contratos-administrativos</t>
    </r>
  </si>
  <si>
    <t>Multa do FGTS e contribuição social sobre o Aviso Prévio Indenizado e Trabalhado</t>
  </si>
  <si>
    <t>Onde:
% FGTS sobre API = Índice que demonstra o custo estimado com a incidência do FGTS sobre o aviso prévio indenizado 
API = custo mensal do aviso prévio indenizado, cotado na planilha (item “A” do Módulo 3) 
0,08 = 8% (alíquota do FGTS)</t>
  </si>
  <si>
    <t>Art. 1 e 3, Decreto Lei 1.146/1970
Art. 95, RFB 2110/2022
Anexo III da IN RFB 2110/2022</t>
  </si>
  <si>
    <t>Art. 8, Lei 8.029/1990
Anexo III da IN RFB 2110/2022</t>
  </si>
  <si>
    <t>Art. 1, Decreto Lei 6.246/1944
Art. 4, Decreto Lei 8.621/1946
Anexo III da IN RFB 2110/2022</t>
  </si>
  <si>
    <t>Art. 3, Decreto Lei 9.853/1946
Art. 3, Decreto Lei 9.403/1946
Art. 30 - Lei 8.036/1990
Anexo III da IN RFB 2110/2022</t>
  </si>
  <si>
    <t>Art. 22, Inciso II, Lei 8.212/1991
Art. 202 e 202-A, Decreto 3.048/1999
Art. 43, Inciso II, §§ 1 e 12 da IN RFB 2110/2022</t>
  </si>
  <si>
    <t>Art. 212, § 5, CF/88
Art. 15, Lei 9.424/1996
Art. 96, §1  IN RFB 2110/2022</t>
  </si>
  <si>
    <t>É vedado o intervalo intrajornada remunerado, uma vez que os vigilantes disporão de tempo para realizar os intervalos regulamentares</t>
  </si>
  <si>
    <t>Intervalo intrajornada de refeições</t>
  </si>
  <si>
    <t>Art. 193, § 1º , Decreto Lei 5452/1943 (CLT)
Anexo 3, Portaria 1.885/2013
Cláusula 7, § 2 - CCT Vigilantes.</t>
  </si>
  <si>
    <t>Artigos 457 e 458 do Decreto Lei 5452/1943 (CLT).
Incisos IV e V da Constituição Federal de 1988.
Cláusula 3, § 2- CCT Vigilantes.</t>
  </si>
  <si>
    <t>Adicional Noturno</t>
  </si>
  <si>
    <t>1% x (Remuneração, exceto item H do módulo 1 + 13° + Férias)</t>
  </si>
  <si>
    <t>0,6% x (Remuneração, exceto item H do módulo 1 + 13° + Férias)</t>
  </si>
  <si>
    <t>0,2% x (Remuneração, exceto item H do módulo 1+ 13° + Férias)</t>
  </si>
  <si>
    <t>8% x (Remuneração, exceto item H do módulo 1 + 13° + Férias)</t>
  </si>
  <si>
    <t>20% x (Remuneração, exceto item H do módulo 1 + 13° + Férias)</t>
  </si>
  <si>
    <t>2,5% x (Remuneração, exceto item H do módulo 1 + 13° + Férias)</t>
  </si>
  <si>
    <t>3% x FAP x (Remuneração, exceto item H do módulo 1 + 13° + Férias)</t>
  </si>
  <si>
    <t>1,5% x (Remuneração, exceto item H do módulo 1+ 13° + Férias)</t>
  </si>
  <si>
    <t>Adicional de hora reduzida</t>
  </si>
  <si>
    <r>
      <t xml:space="preserve">Cláusula 4, §1 da CCT-  Valor da hora adicional noturna R$ 2,16
Cláusula 7, § 2 - CCT Vigilantes. -  Em vista da habitualidade do pagamento do adicional
de periculosidade, o mesmo incide sobre os adicionais de horas extras, </t>
    </r>
    <r>
      <rPr>
        <b/>
        <sz val="9"/>
        <color theme="1"/>
        <rFont val="Calibri"/>
        <family val="2"/>
        <scheme val="minor"/>
      </rPr>
      <t>adicional noturno</t>
    </r>
    <r>
      <rPr>
        <sz val="9"/>
        <color theme="1"/>
        <rFont val="Calibri"/>
        <family val="2"/>
        <scheme val="minor"/>
      </rPr>
      <t>,
comissões, férias, 13º salário, FGTS, INSS e Aviso Prévio
Cláusula 46 - CCT
Parágrafo 7 - do Adicional Noturno
 O trabalho noturno terá remuneração superior à do diurno e, para esse efeito, sua
remuneração terá um acréscimo de 20% (vinte por cento), sobre a hora diurna.
A hora do trabalho noturno será computada como de 52 (cinqüenta e dois) minutos e 30
(trinta) segundos.
Considera-se noturno, o trabalho executado entre as 22 (vinte e duas) horas de um dia e as 5
(cinco) horas do dia seguinte. Cada plantão conta com 7 horas noturna, mensalmente serão 105 horas noturnas</t>
    </r>
  </si>
  <si>
    <t>Hora noturna adicional - ou hora noturna reduzida</t>
  </si>
  <si>
    <t>{[(Salário base + Periculosidade)/220] +20% }x 15
Onde:
Salário Base + Periculosidade: Base de incidência para periculosidade
220: Quantidade de horas mensais
20%: Adicional de periculosidade
15: Quantidade de horas reduzidas mensais</t>
  </si>
  <si>
    <t>{[(Salário base + Periculosidade)/220] x 20% }x 105
Onde:
Salário Base + Periculosidade: Base de incidência para periculosidade
220: Quantidade de horas mensais
20%: Adicional de periculosidade
105: Quantidade de horas noturnas mensais</t>
  </si>
  <si>
    <t xml:space="preserve">Percentuais </t>
  </si>
  <si>
    <t xml:space="preserve">Multa sobre o FGTS para as rescisões sem justa causa; </t>
  </si>
  <si>
    <t xml:space="preserve">Multa do FGTS sobre o Aviso Prévio Indenizado </t>
  </si>
  <si>
    <t>Multa do FGTS sobre o Aviso Prévio Trabalhado</t>
  </si>
  <si>
    <t>Total %</t>
  </si>
  <si>
    <t>Multa do FGTS sobre o Aviso Prévio Indenizado</t>
  </si>
  <si>
    <t>Onde:
% API = Índice a ser aplicado sobre o total do Módulo 1 , exceto item G, para estimativa mensal do custo com aviso prévio indenizado
RE = Remuneração do Empregado (total do Módulo 1, exceto item G) 
12 = número de meses no ano 
PERC = percentual arbitrado no qual 5,55% dos empregados poderão ser demitidos sem a concessão de aviso prévio.</t>
  </si>
  <si>
    <r>
      <t xml:space="preserve">%API = (1/12) x 0,0555 x 100 ≅ </t>
    </r>
    <r>
      <rPr>
        <b/>
        <sz val="11"/>
        <color theme="1"/>
        <rFont val="Calibri"/>
        <family val="2"/>
        <scheme val="minor"/>
      </rPr>
      <t>0,4625</t>
    </r>
  </si>
  <si>
    <r>
      <t xml:space="preserve">% FGTS sobre API = API × 0,08 × 100
% FGTS sobre API = 0,004625 × 0,08 × 100 ≅ </t>
    </r>
    <r>
      <rPr>
        <b/>
        <sz val="11"/>
        <color theme="1"/>
        <rFont val="Calibri"/>
        <family val="2"/>
        <scheme val="minor"/>
      </rPr>
      <t>0,04</t>
    </r>
    <r>
      <rPr>
        <sz val="11"/>
        <color theme="1"/>
        <rFont val="Calibri"/>
        <family val="2"/>
        <scheme val="minor"/>
      </rPr>
      <t xml:space="preserve">
</t>
    </r>
  </si>
  <si>
    <r>
      <t>Metodologia da Base de Cálculo do Substituto na Cobertura de Acidentes de Trabalho:
(15/360) = 4,17%
Remuneração do empregado, exceto item G) x4,17</t>
    </r>
    <r>
      <rPr>
        <b/>
        <sz val="11"/>
        <color theme="1"/>
        <rFont val="Calibri"/>
        <family val="2"/>
        <scheme val="minor"/>
      </rPr>
      <t>%</t>
    </r>
    <r>
      <rPr>
        <sz val="11"/>
        <color theme="1"/>
        <rFont val="Calibri"/>
        <family val="2"/>
        <scheme val="minor"/>
      </rPr>
      <t xml:space="preserve">
</t>
    </r>
  </si>
  <si>
    <r>
      <t>Art. 6, § 1°, f, e §2 da Lei 605/1949 
Considera-se que o empregado se ause</t>
    </r>
    <r>
      <rPr>
        <b/>
        <sz val="9"/>
        <color theme="1"/>
        <rFont val="Calibri"/>
        <family val="2"/>
        <scheme val="minor"/>
      </rPr>
      <t>nta 5 dias/ano</t>
    </r>
    <r>
      <rPr>
        <sz val="9"/>
        <color theme="1"/>
        <rFont val="Calibri"/>
        <family val="2"/>
        <scheme val="minor"/>
      </rPr>
      <t xml:space="preserve"> por motivos de doença.
</t>
    </r>
    <r>
      <rPr>
        <b/>
        <sz val="9"/>
        <color theme="1"/>
        <rFont val="Calibri"/>
        <family val="2"/>
        <scheme val="minor"/>
      </rPr>
      <t xml:space="preserve">Na prorrogação: </t>
    </r>
    <r>
      <rPr>
        <sz val="9"/>
        <color theme="1"/>
        <rFont val="Calibri"/>
        <family val="2"/>
        <scheme val="minor"/>
      </rPr>
      <t>A empresa deverá apresentar cópia dos atestados médicos para comprovar
o custo da substituição dos empregados. O atestato médico precisa do CID - Código
Internacional de Doenças; tempo da dispensa; assinatura e carimbo ou número do registro no
Conselho Regional de Medicina (CRM) do médico como requisitos de validade do atestado
médico, conforme arts. 3º e 5º da Resolução CFM nº 1.658/2002. Só o paciente ou
representante legal pode autorizar o diagnóstico no atestado além do CID.</t>
    </r>
  </si>
  <si>
    <t xml:space="preserve">Outros </t>
  </si>
  <si>
    <t xml:space="preserve">Substituto na Cobertura de Licença Maternidade </t>
  </si>
  <si>
    <t>Incidência do Submódulo 2.2 sobre o custo de reposição (A,B,C e D)</t>
  </si>
  <si>
    <r>
      <t xml:space="preserve">Metodologia da Base de Cálculo do Substituto na Cobertura de Licença Paternidade:
(5/360) x 1,62% * 50% = </t>
    </r>
    <r>
      <rPr>
        <b/>
        <sz val="11"/>
        <color theme="1"/>
        <rFont val="Calibri"/>
        <family val="2"/>
        <scheme val="minor"/>
      </rPr>
      <t>0,01%</t>
    </r>
    <r>
      <rPr>
        <sz val="11"/>
        <color theme="1"/>
        <rFont val="Calibri"/>
        <family val="2"/>
        <scheme val="minor"/>
      </rPr>
      <t xml:space="preserve">
(Remuneração do empregado, exceto item G) x 0,01%
50% significa metade dos funcionários homens</t>
    </r>
  </si>
  <si>
    <t>Metodologia da Base de Cálculo do Substituto na Cobertura de Licença Maternidade: {[(1/12)+(1/12)+(1/12/3)]x(4/12)x1,62%x50%}
50% significa metade dos funcionários mulheres</t>
  </si>
  <si>
    <r>
      <t xml:space="preserve">Será considerado que cada funcionário usará </t>
    </r>
    <r>
      <rPr>
        <b/>
        <sz val="9"/>
        <color theme="1"/>
        <rFont val="Calibri"/>
        <family val="2"/>
        <scheme val="minor"/>
      </rPr>
      <t>três dias por ano</t>
    </r>
    <r>
      <rPr>
        <sz val="9"/>
        <color theme="1"/>
        <rFont val="Calibri"/>
        <family val="2"/>
        <scheme val="minor"/>
      </rPr>
      <t xml:space="preserve">, considerando todo arcabouço legal das faltas cobertas pelo art. 473 da CLT e outros normativos.
</t>
    </r>
    <r>
      <rPr>
        <b/>
        <sz val="9"/>
        <color theme="1"/>
        <rFont val="Calibri"/>
        <family val="2"/>
        <scheme val="minor"/>
      </rPr>
      <t>Na prorrogação:</t>
    </r>
    <r>
      <rPr>
        <sz val="9"/>
        <color theme="1"/>
        <rFont val="Calibri"/>
        <family val="2"/>
        <scheme val="minor"/>
      </rPr>
      <t xml:space="preserve"> A empresa deverá apresentar declaração de doação de sangue emitido pelo laboratório, certidão de casamento ou de óbito de parentes e demais comprovantes que justifiquem as faltas consoante o planilhamento e, opcionalmente, comprovação de pagamento de diaristas para cobrir o profissional ausente.</t>
    </r>
  </si>
  <si>
    <t>-</t>
  </si>
  <si>
    <t>Incidência de encargos sobre as coberturas dos itens A, B, C e D.
Nota: Conforme disposto na Solução de Consulta nº 25, de 14 de junho de 2022 (DOU de 14.07.2022, Seção 1, pág. 12) da
Receita Federal do Brasil (RFB), não incide contribuição previdenciária sobre as importâncias pagas relativas aos 15
primeiros dias que antecedem o auxílio-doença e a título de auxílio-acidente.</t>
  </si>
  <si>
    <t>Somatório do Submódulo 2.2 * Somatório dos percentuais de A, B, C e D do Submódulo 4.1</t>
  </si>
  <si>
    <t>Substituto na Cobertura de Férias (13º salário)</t>
  </si>
  <si>
    <r>
      <t xml:space="preserve">Proporcional de 1/12 para provisão do 13º do Substituto quando houver férias de funcionários:
(1/12) /12 = </t>
    </r>
    <r>
      <rPr>
        <b/>
        <sz val="11"/>
        <color theme="1"/>
        <rFont val="Calibri"/>
        <family val="2"/>
        <scheme val="minor"/>
      </rPr>
      <t>0,69%</t>
    </r>
    <r>
      <rPr>
        <sz val="11"/>
        <color theme="1"/>
        <rFont val="Calibri"/>
        <family val="2"/>
        <scheme val="minor"/>
      </rPr>
      <t xml:space="preserve">
0,69% x (Remuneração do empregado, exceto item G)</t>
    </r>
  </si>
  <si>
    <t xml:space="preserve">Subtotal </t>
  </si>
  <si>
    <r>
      <t xml:space="preserve">Metodologia da Base de Cálculo do Substituto na Cobertura de Ausências Legais: 
(3 dias)/(360 dias) = </t>
    </r>
    <r>
      <rPr>
        <b/>
        <sz val="11"/>
        <color theme="1"/>
        <rFont val="Calibri"/>
        <family val="2"/>
        <scheme val="minor"/>
      </rPr>
      <t>0,83%</t>
    </r>
    <r>
      <rPr>
        <sz val="11"/>
        <color theme="1"/>
        <rFont val="Calibri"/>
        <family val="2"/>
        <scheme val="minor"/>
      </rPr>
      <t xml:space="preserve">
0,83% x (Remuneração do empregado, exceto item G)</t>
    </r>
  </si>
  <si>
    <r>
      <t xml:space="preserve">Art. 10, § 1° ADCT; 
Deve-se observar, com base em dados do TCU, que nascem filhos de </t>
    </r>
    <r>
      <rPr>
        <b/>
        <sz val="9"/>
        <color theme="1"/>
        <rFont val="Calibri"/>
        <family val="2"/>
        <scheme val="minor"/>
      </rPr>
      <t>1,62%</t>
    </r>
    <r>
      <rPr>
        <sz val="9"/>
        <color theme="1"/>
        <rFont val="Calibri"/>
        <family val="2"/>
        <scheme val="minor"/>
      </rPr>
      <t xml:space="preserve"> dos trabalhadores no período de um ano. 
</t>
    </r>
    <r>
      <rPr>
        <b/>
        <sz val="9"/>
        <color theme="1"/>
        <rFont val="Calibri"/>
        <family val="2"/>
        <scheme val="minor"/>
      </rPr>
      <t>Na prorrogação:</t>
    </r>
    <r>
      <rPr>
        <sz val="9"/>
        <color theme="1"/>
        <rFont val="Calibri"/>
        <family val="2"/>
        <scheme val="minor"/>
      </rPr>
      <t xml:space="preserve"> A empresa deverá apresentar comprovante de uso de tal prerrogativa</t>
    </r>
  </si>
  <si>
    <r>
      <t xml:space="preserve">Art. 131, da CLT
Art. 43, §2 da Lei 8.213/1191
Art. 44, § 2 do Decreto 3.048/1999
Considera-se que o empregado falta </t>
    </r>
    <r>
      <rPr>
        <b/>
        <sz val="9"/>
        <color theme="1"/>
        <rFont val="Calibri"/>
        <family val="2"/>
        <scheme val="minor"/>
      </rPr>
      <t>quinze dias por ano</t>
    </r>
    <r>
      <rPr>
        <sz val="9"/>
        <color theme="1"/>
        <rFont val="Calibri"/>
        <family val="2"/>
        <scheme val="minor"/>
      </rPr>
      <t xml:space="preserve"> por motivos de acidente de trabalho.
</t>
    </r>
    <r>
      <rPr>
        <b/>
        <sz val="9"/>
        <color theme="1"/>
        <rFont val="Calibri"/>
        <family val="2"/>
        <scheme val="minor"/>
      </rPr>
      <t>Na prorrogação</t>
    </r>
    <r>
      <rPr>
        <sz val="9"/>
        <color theme="1"/>
        <rFont val="Calibri"/>
        <family val="2"/>
        <scheme val="minor"/>
      </rPr>
      <t>: A empresa deverá apresentar cópia dos comunicados de afastamento
emitidos pela Previdência Social (RFB) para comprovar que teve o custo dos 15 primeiros
dias de trabalho do empregado, inclusive planilhar e comprovar o custo dessas 15 diárias para
manter o posto de serviço.</t>
    </r>
  </si>
  <si>
    <r>
      <t xml:space="preserve">Metodologia da Base de Cálculo do Substituto na Cobertura de Afastamento por Doenças:
(5/360) = 1,39%
(Remuneração do empregado, exceto item G) x </t>
    </r>
    <r>
      <rPr>
        <b/>
        <sz val="11"/>
        <color theme="1"/>
        <rFont val="Calibri"/>
        <family val="2"/>
        <scheme val="minor"/>
      </rPr>
      <t>1,39%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</si>
</sst>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8" formatCode="&quot;R$&quot;\ #,##0.00;[Red]\-&quot;R$&quot;\ #,##0.00"/>
    <numFmt numFmtId="44" formatCode="_-&quot;R$&quot;\ * #,##0.00_-;\-&quot;R$&quot;\ * #,##0.00_-;_-&quot;R$&quot;\ * &quot;-&quot;??_-;_-@_-"/>
    <numFmt numFmtId="43" formatCode="_-* #,##0.00_-;\-* #,##0.00_-;_-* &quot;-&quot;??_-;_-@_-"/>
    <numFmt numFmtId="164" formatCode="_(* #,##0.00_);_(* \(#,##0.00\);_(* &quot;-&quot;??_);_(@_)"/>
    <numFmt numFmtId="165" formatCode="_-&quot;R$ &quot;* #,##0.00_-;&quot;-R$ &quot;* #,##0.00_-;_-&quot;R$ &quot;* \-??_-;_-@_-"/>
    <numFmt numFmtId="166" formatCode="&quot;R$ &quot;#,##0.00"/>
    <numFmt numFmtId="167" formatCode="&quot;R$&quot;\ #,##0.00"/>
    <numFmt numFmtId="168" formatCode="_-&quot;R$&quot;\ * #,##0.00_-;\-&quot;R$&quot;\ * #,##0.00_-;_-&quot;R$&quot;\ * &quot;-&quot;_-;_-@_-"/>
    <numFmt numFmtId="169" formatCode="0.0%"/>
    <numFmt numFmtId="170" formatCode="0.0000%"/>
  </numFmts>
  <fonts count="26" x14ac:knownFonts="1">
    <font>
      <sz val="11"/>
      <color theme="1"/>
      <name val="Calibri"/>
      <family val="2"/>
      <scheme val="minor"/>
    </font>
    <font>
      <sz val="11"/>
      <color theme="1"/>
      <name val="Calibri"/>
      <family val="2"/>
      <scheme val="minor"/>
    </font>
    <font>
      <sz val="11"/>
      <name val="Calibri"/>
      <family val="2"/>
    </font>
    <font>
      <b/>
      <sz val="14"/>
      <name val="Calibri"/>
      <family val="2"/>
    </font>
    <font>
      <b/>
      <sz val="11"/>
      <name val="Calibri"/>
      <family val="2"/>
    </font>
    <font>
      <sz val="12"/>
      <name val="Calibri"/>
      <family val="2"/>
    </font>
    <font>
      <sz val="11"/>
      <color rgb="FF000000"/>
      <name val="Calibri"/>
      <family val="2"/>
      <charset val="1"/>
    </font>
    <font>
      <b/>
      <sz val="11"/>
      <color rgb="FF000000"/>
      <name val="Calibri"/>
      <family val="2"/>
    </font>
    <font>
      <sz val="12"/>
      <color rgb="FF000000"/>
      <name val="Calibri"/>
      <family val="2"/>
    </font>
    <font>
      <b/>
      <u/>
      <sz val="22"/>
      <color theme="1"/>
      <name val="Calibri"/>
      <family val="2"/>
      <scheme val="minor"/>
    </font>
    <font>
      <b/>
      <sz val="11"/>
      <color theme="0"/>
      <name val="Calibri"/>
      <family val="2"/>
      <scheme val="minor"/>
    </font>
    <font>
      <sz val="11"/>
      <color rgb="FFFF0000"/>
      <name val="Calibri"/>
      <family val="2"/>
      <scheme val="minor"/>
    </font>
    <font>
      <sz val="10"/>
      <color rgb="FF000000"/>
      <name val="Arial"/>
      <family val="2"/>
    </font>
    <font>
      <sz val="11"/>
      <color rgb="FF000000"/>
      <name val="Calibri"/>
      <family val="2"/>
      <scheme val="minor"/>
    </font>
    <font>
      <b/>
      <sz val="11"/>
      <color rgb="FF000000"/>
      <name val="Calibri"/>
      <family val="2"/>
      <scheme val="minor"/>
    </font>
    <font>
      <sz val="11"/>
      <name val="Calibri"/>
      <family val="2"/>
      <scheme val="minor"/>
    </font>
    <font>
      <b/>
      <sz val="11"/>
      <name val="Calibri"/>
      <family val="2"/>
      <scheme val="minor"/>
    </font>
    <font>
      <sz val="12"/>
      <color theme="1"/>
      <name val="Calibri"/>
      <family val="2"/>
      <scheme val="minor"/>
    </font>
    <font>
      <sz val="12"/>
      <color rgb="FF000000"/>
      <name val="Calibri"/>
      <family val="2"/>
      <scheme val="minor"/>
    </font>
    <font>
      <b/>
      <sz val="11"/>
      <color theme="1"/>
      <name val="Calibri"/>
      <family val="2"/>
      <scheme val="minor"/>
    </font>
    <font>
      <sz val="8"/>
      <name val="Calibri"/>
      <family val="2"/>
      <scheme val="minor"/>
    </font>
    <font>
      <sz val="11"/>
      <color rgb="FF333333"/>
      <name val="Arial"/>
      <family val="2"/>
    </font>
    <font>
      <sz val="9"/>
      <color theme="1"/>
      <name val="Calibri"/>
      <family val="2"/>
      <scheme val="minor"/>
    </font>
    <font>
      <sz val="10"/>
      <color theme="0"/>
      <name val="Arial"/>
      <family val="2"/>
    </font>
    <font>
      <b/>
      <sz val="9"/>
      <color theme="1"/>
      <name val="Calibri"/>
      <family val="2"/>
      <scheme val="minor"/>
    </font>
    <font>
      <strike/>
      <sz val="9"/>
      <color theme="1"/>
      <name val="Calibri"/>
      <family val="2"/>
      <scheme val="minor"/>
    </font>
  </fonts>
  <fills count="22">
    <fill>
      <patternFill patternType="none"/>
    </fill>
    <fill>
      <patternFill patternType="gray125"/>
    </fill>
    <fill>
      <patternFill patternType="solid">
        <fgColor rgb="FF92CDDC"/>
        <bgColor rgb="FF000000"/>
      </patternFill>
    </fill>
    <fill>
      <patternFill patternType="solid">
        <fgColor rgb="FFCCC0DA"/>
        <bgColor rgb="FF000000"/>
      </patternFill>
    </fill>
    <fill>
      <patternFill patternType="solid">
        <fgColor rgb="FFB7DEE8"/>
        <bgColor rgb="FF000000"/>
      </patternFill>
    </fill>
    <fill>
      <patternFill patternType="solid">
        <fgColor rgb="FFFFFFFF"/>
        <bgColor rgb="FFFFFFCC"/>
      </patternFill>
    </fill>
    <fill>
      <patternFill patternType="solid">
        <fgColor theme="0"/>
        <bgColor indexed="64"/>
      </patternFill>
    </fill>
    <fill>
      <patternFill patternType="solid">
        <fgColor rgb="FFB1A0C7"/>
        <bgColor rgb="FF000000"/>
      </patternFill>
    </fill>
    <fill>
      <patternFill patternType="solid">
        <fgColor rgb="FFE2E2E2"/>
        <bgColor rgb="FFCCCCFF"/>
      </patternFill>
    </fill>
    <fill>
      <patternFill patternType="solid">
        <fgColor rgb="FFE2E2E2"/>
        <bgColor indexed="64"/>
      </patternFill>
    </fill>
    <fill>
      <patternFill patternType="solid">
        <fgColor theme="8" tint="0.79998168889431442"/>
        <bgColor rgb="FFCCCCFF"/>
      </patternFill>
    </fill>
    <fill>
      <patternFill patternType="solid">
        <fgColor theme="8" tint="0.79998168889431442"/>
        <bgColor indexed="64"/>
      </patternFill>
    </fill>
    <fill>
      <patternFill patternType="solid">
        <fgColor theme="8" tint="0.79998168889431442"/>
        <bgColor rgb="FF000000"/>
      </patternFill>
    </fill>
    <fill>
      <patternFill patternType="solid">
        <fgColor theme="7" tint="0.59999389629810485"/>
        <bgColor indexed="64"/>
      </patternFill>
    </fill>
    <fill>
      <patternFill patternType="solid">
        <fgColor theme="0" tint="-0.14999847407452621"/>
        <bgColor rgb="FF000000"/>
      </patternFill>
    </fill>
    <fill>
      <patternFill patternType="solid">
        <fgColor theme="6" tint="0.59999389629810485"/>
        <bgColor indexed="64"/>
      </patternFill>
    </fill>
    <fill>
      <patternFill patternType="solid">
        <fgColor theme="7" tint="0.79998168889431442"/>
        <bgColor rgb="FF000000"/>
      </patternFill>
    </fill>
    <fill>
      <patternFill patternType="solid">
        <fgColor theme="2"/>
        <bgColor rgb="FF000000"/>
      </patternFill>
    </fill>
    <fill>
      <patternFill patternType="solid">
        <fgColor theme="0" tint="-0.14999847407452621"/>
        <bgColor indexed="64"/>
      </patternFill>
    </fill>
    <fill>
      <patternFill patternType="solid">
        <fgColor rgb="FFFFC000"/>
        <bgColor indexed="64"/>
      </patternFill>
    </fill>
    <fill>
      <patternFill patternType="solid">
        <fgColor rgb="FFFFFF00"/>
        <bgColor indexed="64"/>
      </patternFill>
    </fill>
    <fill>
      <patternFill patternType="solid">
        <fgColor rgb="FFFFFF00"/>
        <bgColor rgb="FFFFFFCC"/>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auto="1"/>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diagonal/>
    </border>
    <border>
      <left style="thin">
        <color auto="1"/>
      </left>
      <right/>
      <top style="thin">
        <color auto="1"/>
      </top>
      <bottom/>
      <diagonal/>
    </border>
    <border>
      <left style="thin">
        <color indexed="64"/>
      </left>
      <right style="thin">
        <color indexed="64"/>
      </right>
      <top/>
      <bottom/>
      <diagonal/>
    </border>
  </borders>
  <cellStyleXfs count="9">
    <xf numFmtId="0" fontId="0" fillId="0" borderId="0"/>
    <xf numFmtId="44" fontId="1" fillId="0" borderId="0" applyFont="0" applyFill="0" applyBorder="0" applyAlignment="0" applyProtection="0"/>
    <xf numFmtId="0" fontId="6" fillId="0" borderId="0"/>
    <xf numFmtId="165" fontId="6" fillId="0" borderId="0" applyBorder="0" applyProtection="0"/>
    <xf numFmtId="9" fontId="6" fillId="0" borderId="0" applyBorder="0" applyProtection="0"/>
    <xf numFmtId="0" fontId="6" fillId="0" borderId="0"/>
    <xf numFmtId="165" fontId="6" fillId="0" borderId="0" applyBorder="0" applyProtection="0"/>
    <xf numFmtId="43" fontId="1" fillId="0" borderId="0" applyFont="0" applyFill="0" applyBorder="0" applyAlignment="0" applyProtection="0"/>
    <xf numFmtId="9" fontId="1" fillId="0" borderId="0" applyFont="0" applyFill="0" applyBorder="0" applyAlignment="0" applyProtection="0"/>
  </cellStyleXfs>
  <cellXfs count="405">
    <xf numFmtId="0" fontId="0" fillId="0" borderId="0" xfId="0"/>
    <xf numFmtId="0" fontId="2" fillId="0" borderId="0" xfId="0" applyFont="1" applyAlignment="1">
      <alignmen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0" fillId="0" borderId="0" xfId="0" applyAlignment="1">
      <alignment horizontal="center" vertical="center"/>
    </xf>
    <xf numFmtId="0" fontId="2" fillId="0" borderId="1" xfId="0" applyFont="1" applyBorder="1" applyAlignment="1">
      <alignment horizontal="left" vertical="center"/>
    </xf>
    <xf numFmtId="0" fontId="6" fillId="0" borderId="0" xfId="2"/>
    <xf numFmtId="0" fontId="12" fillId="0" borderId="0" xfId="2" applyFont="1" applyProtection="1">
      <protection locked="0"/>
    </xf>
    <xf numFmtId="0" fontId="12" fillId="0" borderId="0" xfId="2" applyFont="1" applyAlignment="1" applyProtection="1">
      <alignment horizontal="center"/>
      <protection locked="0"/>
    </xf>
    <xf numFmtId="0" fontId="6" fillId="6" borderId="0" xfId="2" applyFill="1"/>
    <xf numFmtId="0" fontId="6" fillId="6" borderId="0" xfId="5" applyFill="1"/>
    <xf numFmtId="0" fontId="13" fillId="0" borderId="0" xfId="2" applyFont="1"/>
    <xf numFmtId="13" fontId="1" fillId="6" borderId="0" xfId="3" applyNumberFormat="1" applyFont="1" applyFill="1"/>
    <xf numFmtId="0" fontId="13" fillId="6" borderId="0" xfId="2" applyFont="1" applyFill="1"/>
    <xf numFmtId="13" fontId="13" fillId="6" borderId="0" xfId="6" applyNumberFormat="1" applyFont="1" applyFill="1"/>
    <xf numFmtId="0" fontId="13" fillId="5" borderId="0" xfId="2" applyFont="1" applyFill="1" applyAlignment="1">
      <alignment horizontal="center"/>
    </xf>
    <xf numFmtId="0" fontId="15" fillId="5" borderId="0" xfId="2" applyFont="1" applyFill="1" applyAlignment="1">
      <alignment horizontal="left"/>
    </xf>
    <xf numFmtId="0" fontId="15" fillId="5" borderId="0" xfId="2" applyFont="1" applyFill="1"/>
    <xf numFmtId="14" fontId="15" fillId="5" borderId="0" xfId="2" applyNumberFormat="1" applyFont="1" applyFill="1"/>
    <xf numFmtId="0" fontId="13" fillId="5" borderId="1" xfId="2" applyFont="1" applyFill="1" applyBorder="1" applyAlignment="1">
      <alignment horizontal="center"/>
    </xf>
    <xf numFmtId="0" fontId="13" fillId="5" borderId="2" xfId="2" applyFont="1" applyFill="1" applyBorder="1" applyAlignment="1">
      <alignment horizontal="center"/>
    </xf>
    <xf numFmtId="0" fontId="13" fillId="5" borderId="2" xfId="2" applyFont="1" applyFill="1" applyBorder="1"/>
    <xf numFmtId="0" fontId="13" fillId="5" borderId="3" xfId="2" applyFont="1" applyFill="1" applyBorder="1"/>
    <xf numFmtId="0" fontId="13" fillId="0" borderId="1" xfId="2" applyFont="1" applyBorder="1" applyAlignment="1">
      <alignment horizontal="center"/>
    </xf>
    <xf numFmtId="0" fontId="15" fillId="0" borderId="1" xfId="2" applyFont="1" applyBorder="1" applyAlignment="1">
      <alignment horizontal="center"/>
    </xf>
    <xf numFmtId="0" fontId="15" fillId="5" borderId="2" xfId="2" applyFont="1" applyFill="1" applyBorder="1"/>
    <xf numFmtId="0" fontId="15" fillId="5" borderId="3" xfId="2" applyFont="1" applyFill="1" applyBorder="1"/>
    <xf numFmtId="0" fontId="15" fillId="5" borderId="1" xfId="2" applyFont="1" applyFill="1" applyBorder="1" applyAlignment="1">
      <alignment horizontal="center"/>
    </xf>
    <xf numFmtId="0" fontId="15" fillId="5" borderId="4" xfId="2" applyFont="1" applyFill="1" applyBorder="1"/>
    <xf numFmtId="165" fontId="13" fillId="0" borderId="1" xfId="3" applyFont="1" applyBorder="1" applyProtection="1"/>
    <xf numFmtId="165" fontId="13" fillId="0" borderId="1" xfId="2" applyNumberFormat="1" applyFont="1" applyBorder="1" applyAlignment="1">
      <alignment horizontal="center"/>
    </xf>
    <xf numFmtId="10" fontId="13" fillId="0" borderId="1" xfId="2" applyNumberFormat="1" applyFont="1" applyBorder="1" applyAlignment="1">
      <alignment horizontal="center"/>
    </xf>
    <xf numFmtId="165" fontId="13" fillId="0" borderId="1" xfId="3" applyFont="1" applyBorder="1" applyAlignment="1" applyProtection="1">
      <alignment horizontal="left"/>
    </xf>
    <xf numFmtId="0" fontId="13" fillId="0" borderId="1" xfId="2" applyFont="1" applyBorder="1" applyAlignment="1" applyProtection="1">
      <alignment horizontal="center"/>
      <protection locked="0"/>
    </xf>
    <xf numFmtId="10" fontId="15" fillId="0" borderId="1" xfId="2" applyNumberFormat="1" applyFont="1" applyBorder="1" applyAlignment="1">
      <alignment horizontal="center"/>
    </xf>
    <xf numFmtId="165" fontId="15" fillId="0" borderId="1" xfId="3" applyFont="1" applyBorder="1" applyAlignment="1" applyProtection="1">
      <alignment horizontal="left"/>
    </xf>
    <xf numFmtId="0" fontId="15" fillId="5" borderId="2" xfId="2" applyFont="1" applyFill="1" applyBorder="1" applyAlignment="1">
      <alignment horizontal="left" vertical="center"/>
    </xf>
    <xf numFmtId="165" fontId="16" fillId="8" borderId="1" xfId="3" applyFont="1" applyFill="1" applyBorder="1" applyAlignment="1" applyProtection="1">
      <alignment horizontal="left"/>
    </xf>
    <xf numFmtId="10" fontId="14" fillId="9" borderId="1" xfId="4" applyNumberFormat="1" applyFont="1" applyFill="1" applyBorder="1" applyAlignment="1" applyProtection="1">
      <alignment horizontal="center"/>
    </xf>
    <xf numFmtId="0" fontId="16" fillId="8" borderId="1" xfId="2" applyFont="1" applyFill="1" applyBorder="1" applyAlignment="1">
      <alignment horizontal="center"/>
    </xf>
    <xf numFmtId="0" fontId="14" fillId="8" borderId="1" xfId="2" applyFont="1" applyFill="1" applyBorder="1" applyAlignment="1">
      <alignment horizontal="center"/>
    </xf>
    <xf numFmtId="165" fontId="14" fillId="8" borderId="1" xfId="2" applyNumberFormat="1" applyFont="1" applyFill="1" applyBorder="1" applyAlignment="1">
      <alignment horizontal="center"/>
    </xf>
    <xf numFmtId="10" fontId="16" fillId="8" borderId="1" xfId="4" applyNumberFormat="1" applyFont="1" applyFill="1" applyBorder="1" applyAlignment="1" applyProtection="1">
      <alignment horizontal="center"/>
    </xf>
    <xf numFmtId="0" fontId="14" fillId="8" borderId="1" xfId="2" applyFont="1" applyFill="1" applyBorder="1"/>
    <xf numFmtId="165" fontId="14" fillId="8" borderId="1" xfId="3" applyFont="1" applyFill="1" applyBorder="1" applyAlignment="1" applyProtection="1">
      <alignment horizontal="left"/>
    </xf>
    <xf numFmtId="10" fontId="14" fillId="8" borderId="1" xfId="2" applyNumberFormat="1" applyFont="1" applyFill="1" applyBorder="1" applyAlignment="1">
      <alignment horizontal="center"/>
    </xf>
    <xf numFmtId="0" fontId="6" fillId="0" borderId="0" xfId="0" applyFont="1"/>
    <xf numFmtId="44" fontId="6" fillId="4" borderId="1" xfId="0" applyNumberFormat="1" applyFont="1" applyFill="1" applyBorder="1" applyAlignment="1">
      <alignment horizontal="center" vertical="center"/>
    </xf>
    <xf numFmtId="0" fontId="18" fillId="0" borderId="1" xfId="0" applyFont="1" applyBorder="1" applyAlignment="1">
      <alignment horizontal="left" vertical="center" wrapText="1"/>
    </xf>
    <xf numFmtId="10" fontId="13" fillId="0" borderId="4" xfId="4" applyNumberFormat="1" applyFont="1" applyBorder="1" applyAlignment="1" applyProtection="1">
      <alignment horizontal="center"/>
    </xf>
    <xf numFmtId="10" fontId="13" fillId="0" borderId="0" xfId="4" applyNumberFormat="1" applyFont="1" applyBorder="1" applyAlignment="1" applyProtection="1">
      <alignment horizontal="center"/>
      <protection locked="0"/>
    </xf>
    <xf numFmtId="0" fontId="13" fillId="0" borderId="5" xfId="2" applyFont="1" applyBorder="1" applyAlignment="1">
      <alignment horizontal="center" vertical="center"/>
    </xf>
    <xf numFmtId="43" fontId="6" fillId="0" borderId="0" xfId="2" applyNumberFormat="1"/>
    <xf numFmtId="165" fontId="6" fillId="0" borderId="0" xfId="2" applyNumberFormat="1"/>
    <xf numFmtId="10" fontId="6" fillId="0" borderId="0" xfId="2" applyNumberFormat="1"/>
    <xf numFmtId="10" fontId="6" fillId="7" borderId="1" xfId="0" applyNumberFormat="1" applyFont="1" applyFill="1" applyBorder="1" applyAlignment="1">
      <alignment horizontal="center"/>
    </xf>
    <xf numFmtId="165" fontId="13" fillId="0" borderId="0" xfId="2" applyNumberFormat="1" applyFont="1" applyAlignment="1">
      <alignment horizontal="center"/>
    </xf>
    <xf numFmtId="43" fontId="6" fillId="6" borderId="0" xfId="2" applyNumberFormat="1" applyFill="1"/>
    <xf numFmtId="43" fontId="6" fillId="0" borderId="0" xfId="0" applyNumberFormat="1" applyFont="1"/>
    <xf numFmtId="0" fontId="14" fillId="8" borderId="3" xfId="2" applyFont="1" applyFill="1" applyBorder="1"/>
    <xf numFmtId="0" fontId="14" fillId="8" borderId="2" xfId="2" applyFont="1" applyFill="1" applyBorder="1"/>
    <xf numFmtId="10" fontId="6" fillId="0" borderId="1" xfId="0" applyNumberFormat="1" applyFont="1" applyBorder="1" applyAlignment="1">
      <alignment horizontal="center"/>
    </xf>
    <xf numFmtId="0" fontId="13" fillId="0" borderId="2" xfId="2" applyFont="1" applyBorder="1"/>
    <xf numFmtId="0" fontId="13" fillId="0" borderId="3" xfId="2" applyFont="1" applyBorder="1"/>
    <xf numFmtId="16" fontId="6" fillId="0" borderId="0" xfId="2" applyNumberFormat="1"/>
    <xf numFmtId="165" fontId="14" fillId="8" borderId="1" xfId="3" applyFont="1" applyFill="1" applyBorder="1" applyProtection="1"/>
    <xf numFmtId="10" fontId="14" fillId="8" borderId="1" xfId="3" applyNumberFormat="1" applyFont="1" applyFill="1" applyBorder="1" applyAlignment="1" applyProtection="1">
      <alignment horizontal="center"/>
    </xf>
    <xf numFmtId="10" fontId="6" fillId="14" borderId="1" xfId="0" applyNumberFormat="1" applyFont="1" applyFill="1" applyBorder="1" applyAlignment="1">
      <alignment horizontal="center"/>
    </xf>
    <xf numFmtId="10" fontId="6" fillId="0" borderId="0" xfId="0" applyNumberFormat="1" applyFont="1" applyAlignment="1">
      <alignment horizontal="center"/>
    </xf>
    <xf numFmtId="0" fontId="19" fillId="15" borderId="1" xfId="0" applyFont="1" applyFill="1" applyBorder="1" applyAlignment="1">
      <alignment horizontal="center"/>
    </xf>
    <xf numFmtId="0" fontId="16" fillId="0" borderId="0" xfId="0" applyFont="1" applyAlignment="1">
      <alignment horizontal="center" vertical="center"/>
    </xf>
    <xf numFmtId="0" fontId="16" fillId="0" borderId="0" xfId="0" applyFont="1" applyAlignment="1">
      <alignment horizontal="center" vertical="center" wrapText="1"/>
    </xf>
    <xf numFmtId="0" fontId="16" fillId="0" borderId="1" xfId="0" applyFont="1" applyBorder="1" applyAlignment="1">
      <alignment horizontal="center" vertical="center"/>
    </xf>
    <xf numFmtId="0" fontId="15" fillId="0" borderId="1" xfId="0" applyFont="1" applyBorder="1" applyAlignment="1">
      <alignment horizontal="center" vertical="center"/>
    </xf>
    <xf numFmtId="0" fontId="15" fillId="0" borderId="1" xfId="0" applyFont="1" applyBorder="1" applyAlignment="1">
      <alignment horizontal="left" vertical="center" wrapText="1"/>
    </xf>
    <xf numFmtId="44" fontId="15" fillId="0" borderId="1" xfId="1" applyFont="1" applyBorder="1" applyAlignment="1">
      <alignment horizontal="center" vertical="center"/>
    </xf>
    <xf numFmtId="0" fontId="16" fillId="0" borderId="1" xfId="0"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5" xfId="1" applyFont="1" applyBorder="1" applyAlignment="1">
      <alignment horizontal="center" vertical="center"/>
    </xf>
    <xf numFmtId="0" fontId="0" fillId="0" borderId="0" xfId="0" applyAlignment="1">
      <alignment wrapText="1"/>
    </xf>
    <xf numFmtId="0" fontId="17" fillId="11" borderId="1" xfId="0" applyFont="1" applyFill="1" applyBorder="1" applyAlignment="1">
      <alignment horizontal="center" vertical="center"/>
    </xf>
    <xf numFmtId="0" fontId="18" fillId="0" borderId="1" xfId="0" applyFont="1" applyBorder="1" applyAlignment="1">
      <alignment horizontal="center" vertical="center" wrapText="1"/>
    </xf>
    <xf numFmtId="44" fontId="15" fillId="0" borderId="5"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0" fontId="0" fillId="0" borderId="1" xfId="0" applyBorder="1" applyAlignment="1">
      <alignment horizontal="center" vertical="center" wrapText="1"/>
    </xf>
    <xf numFmtId="44" fontId="0" fillId="0" borderId="1" xfId="0" applyNumberFormat="1" applyBorder="1" applyAlignment="1">
      <alignment vertical="center" wrapText="1"/>
    </xf>
    <xf numFmtId="44" fontId="0" fillId="13" borderId="1" xfId="0" applyNumberFormat="1" applyFill="1" applyBorder="1" applyAlignment="1">
      <alignment vertical="center" wrapText="1"/>
    </xf>
    <xf numFmtId="0" fontId="17" fillId="11" borderId="7" xfId="0" applyFont="1" applyFill="1" applyBorder="1" applyAlignment="1">
      <alignment horizontal="center" vertical="center"/>
    </xf>
    <xf numFmtId="0" fontId="17" fillId="11" borderId="7" xfId="0" applyFont="1" applyFill="1" applyBorder="1" applyAlignment="1">
      <alignment horizontal="center" vertical="center" wrapText="1"/>
    </xf>
    <xf numFmtId="0" fontId="6" fillId="4" borderId="1" xfId="0" applyFont="1" applyFill="1" applyBorder="1" applyAlignment="1">
      <alignment horizontal="center" vertical="center"/>
    </xf>
    <xf numFmtId="0" fontId="13" fillId="0" borderId="2" xfId="2" applyFont="1" applyBorder="1" applyAlignment="1">
      <alignment horizontal="left" vertical="center"/>
    </xf>
    <xf numFmtId="0" fontId="13" fillId="0" borderId="3" xfId="2" applyFont="1" applyBorder="1" applyAlignment="1">
      <alignment horizontal="left" vertical="center"/>
    </xf>
    <xf numFmtId="0" fontId="13" fillId="0" borderId="4" xfId="2" applyFont="1" applyBorder="1" applyAlignment="1">
      <alignment horizontal="left" vertical="center"/>
    </xf>
    <xf numFmtId="44" fontId="0" fillId="0" borderId="0" xfId="0" applyNumberFormat="1"/>
    <xf numFmtId="44" fontId="0" fillId="0" borderId="1" xfId="0" applyNumberFormat="1" applyBorder="1" applyAlignment="1">
      <alignment vertical="center"/>
    </xf>
    <xf numFmtId="43" fontId="0" fillId="0" borderId="0" xfId="7" applyFont="1"/>
    <xf numFmtId="43" fontId="0" fillId="0" borderId="0" xfId="0" applyNumberFormat="1"/>
    <xf numFmtId="0" fontId="15" fillId="0" borderId="2" xfId="2" applyFont="1" applyBorder="1"/>
    <xf numFmtId="0" fontId="15" fillId="0" borderId="3" xfId="2" applyFont="1" applyBorder="1"/>
    <xf numFmtId="0" fontId="16" fillId="8" borderId="2" xfId="2" applyFont="1" applyFill="1" applyBorder="1"/>
    <xf numFmtId="0" fontId="16" fillId="8" borderId="3" xfId="2" applyFont="1" applyFill="1" applyBorder="1"/>
    <xf numFmtId="0" fontId="6" fillId="17" borderId="1" xfId="0" applyFont="1" applyFill="1" applyBorder="1" applyAlignment="1">
      <alignment horizontal="center" vertical="center"/>
    </xf>
    <xf numFmtId="44" fontId="6" fillId="17" borderId="1" xfId="0" applyNumberFormat="1" applyFont="1" applyFill="1" applyBorder="1" applyAlignment="1">
      <alignment horizontal="center" vertical="center"/>
    </xf>
    <xf numFmtId="165" fontId="16" fillId="0" borderId="2" xfId="3" applyFont="1" applyBorder="1" applyAlignment="1" applyProtection="1">
      <alignment horizontal="center" vertical="center"/>
    </xf>
    <xf numFmtId="165" fontId="16" fillId="0" borderId="4" xfId="3" applyFont="1" applyBorder="1" applyAlignment="1" applyProtection="1">
      <alignment horizontal="center" vertical="center"/>
    </xf>
    <xf numFmtId="0" fontId="17" fillId="0" borderId="1" xfId="0" applyFont="1" applyBorder="1" applyAlignment="1">
      <alignment horizontal="center" vertical="center"/>
    </xf>
    <xf numFmtId="0" fontId="13" fillId="0" borderId="1" xfId="2" applyFont="1" applyBorder="1" applyAlignment="1">
      <alignment horizontal="center" vertical="center"/>
    </xf>
    <xf numFmtId="0" fontId="12" fillId="0" borderId="4" xfId="2" applyFont="1" applyBorder="1" applyAlignment="1" applyProtection="1">
      <alignment horizontal="center"/>
      <protection locked="0"/>
    </xf>
    <xf numFmtId="167" fontId="13" fillId="0" borderId="0" xfId="2" applyNumberFormat="1" applyFont="1"/>
    <xf numFmtId="167" fontId="13" fillId="0" borderId="0" xfId="2" applyNumberFormat="1" applyFont="1" applyAlignment="1">
      <alignment horizontal="left"/>
    </xf>
    <xf numFmtId="0" fontId="17" fillId="11" borderId="13" xfId="0" applyFont="1" applyFill="1" applyBorder="1" applyAlignment="1">
      <alignment horizontal="center" vertical="center" wrapText="1"/>
    </xf>
    <xf numFmtId="0" fontId="18" fillId="0" borderId="7" xfId="0" applyFont="1" applyBorder="1" applyAlignment="1">
      <alignment horizontal="center" vertical="center" wrapText="1"/>
    </xf>
    <xf numFmtId="0" fontId="18" fillId="0" borderId="7" xfId="0" applyFont="1" applyBorder="1" applyAlignment="1">
      <alignment horizontal="left" vertical="center" wrapText="1"/>
    </xf>
    <xf numFmtId="0" fontId="0" fillId="0" borderId="7" xfId="0" applyBorder="1" applyAlignment="1">
      <alignment horizontal="center" vertical="center" wrapText="1"/>
    </xf>
    <xf numFmtId="44" fontId="0" fillId="0" borderId="7" xfId="0" applyNumberFormat="1" applyBorder="1" applyAlignment="1">
      <alignment vertical="center" wrapText="1"/>
    </xf>
    <xf numFmtId="44" fontId="0" fillId="13" borderId="7" xfId="0" applyNumberFormat="1" applyFill="1" applyBorder="1" applyAlignment="1">
      <alignment vertical="center" wrapText="1"/>
    </xf>
    <xf numFmtId="0" fontId="17" fillId="6" borderId="6" xfId="0" applyFont="1" applyFill="1" applyBorder="1" applyAlignment="1">
      <alignment horizontal="center" vertical="center" wrapText="1"/>
    </xf>
    <xf numFmtId="0" fontId="18" fillId="6" borderId="6" xfId="0" applyFont="1" applyFill="1" applyBorder="1" applyAlignment="1">
      <alignment horizontal="center" vertical="center" wrapText="1"/>
    </xf>
    <xf numFmtId="0" fontId="18" fillId="6" borderId="6" xfId="0" applyFont="1" applyFill="1" applyBorder="1" applyAlignment="1">
      <alignment horizontal="left" vertical="center" wrapText="1"/>
    </xf>
    <xf numFmtId="0" fontId="0" fillId="6" borderId="6" xfId="0" applyFill="1" applyBorder="1" applyAlignment="1">
      <alignment horizontal="center" vertical="center" wrapText="1"/>
    </xf>
    <xf numFmtId="44" fontId="0" fillId="6" borderId="6" xfId="0" applyNumberFormat="1" applyFill="1" applyBorder="1" applyAlignment="1">
      <alignment vertical="center" wrapText="1"/>
    </xf>
    <xf numFmtId="44" fontId="19" fillId="6" borderId="6" xfId="0" applyNumberFormat="1" applyFont="1" applyFill="1" applyBorder="1" applyAlignment="1">
      <alignment vertical="center" wrapText="1"/>
    </xf>
    <xf numFmtId="0" fontId="0" fillId="6" borderId="6" xfId="0" applyFill="1" applyBorder="1" applyAlignment="1">
      <alignment wrapText="1"/>
    </xf>
    <xf numFmtId="0" fontId="17" fillId="6" borderId="0" xfId="0" applyFont="1" applyFill="1" applyAlignment="1">
      <alignment horizontal="center" vertical="center" wrapText="1"/>
    </xf>
    <xf numFmtId="0" fontId="18" fillId="6" borderId="0" xfId="0" applyFont="1" applyFill="1" applyAlignment="1">
      <alignment horizontal="center" vertical="center" wrapText="1"/>
    </xf>
    <xf numFmtId="0" fontId="18" fillId="6" borderId="0" xfId="0" applyFont="1" applyFill="1" applyAlignment="1">
      <alignment horizontal="left" vertical="center" wrapText="1"/>
    </xf>
    <xf numFmtId="0" fontId="0" fillId="6" borderId="0" xfId="0" applyFill="1" applyAlignment="1">
      <alignment horizontal="center" vertical="center" wrapText="1"/>
    </xf>
    <xf numFmtId="44" fontId="0" fillId="6" borderId="0" xfId="0" applyNumberFormat="1" applyFill="1" applyAlignment="1">
      <alignment vertical="center" wrapText="1"/>
    </xf>
    <xf numFmtId="0" fontId="0" fillId="6" borderId="0" xfId="0" applyFill="1" applyAlignment="1">
      <alignment wrapText="1"/>
    </xf>
    <xf numFmtId="0" fontId="17" fillId="0" borderId="1" xfId="0" applyFont="1" applyBorder="1" applyAlignment="1">
      <alignment horizontal="center" vertical="center" wrapText="1"/>
    </xf>
    <xf numFmtId="44" fontId="17" fillId="0" borderId="1" xfId="0" applyNumberFormat="1" applyFont="1" applyBorder="1" applyAlignment="1">
      <alignment horizontal="center" vertical="center" wrapText="1"/>
    </xf>
    <xf numFmtId="44" fontId="17" fillId="13" borderId="1" xfId="0" applyNumberFormat="1" applyFont="1" applyFill="1" applyBorder="1" applyAlignment="1">
      <alignment horizontal="center" vertical="center" wrapText="1"/>
    </xf>
    <xf numFmtId="0" fontId="17" fillId="0" borderId="1" xfId="0" applyFont="1" applyBorder="1" applyAlignment="1">
      <alignment horizontal="center" wrapText="1"/>
    </xf>
    <xf numFmtId="0" fontId="17" fillId="0" borderId="7" xfId="0" applyFont="1" applyBorder="1" applyAlignment="1">
      <alignment horizontal="center" vertical="center" wrapText="1"/>
    </xf>
    <xf numFmtId="44" fontId="17" fillId="0" borderId="7" xfId="0" applyNumberFormat="1" applyFont="1" applyBorder="1" applyAlignment="1">
      <alignment horizontal="center" vertical="center" wrapText="1"/>
    </xf>
    <xf numFmtId="44" fontId="17" fillId="13" borderId="7" xfId="0" applyNumberFormat="1" applyFont="1" applyFill="1" applyBorder="1" applyAlignment="1">
      <alignment horizontal="center" vertical="center" wrapText="1"/>
    </xf>
    <xf numFmtId="0" fontId="17" fillId="6" borderId="6" xfId="0" applyFont="1" applyFill="1" applyBorder="1" applyAlignment="1">
      <alignment vertical="center"/>
    </xf>
    <xf numFmtId="0" fontId="19" fillId="0" borderId="0" xfId="0" applyFont="1"/>
    <xf numFmtId="44" fontId="19" fillId="19" borderId="0" xfId="0" applyNumberFormat="1" applyFont="1" applyFill="1"/>
    <xf numFmtId="0" fontId="15" fillId="0" borderId="0" xfId="0" applyFont="1"/>
    <xf numFmtId="0" fontId="16" fillId="0" borderId="7" xfId="0" applyFont="1" applyBorder="1" applyAlignment="1">
      <alignment horizontal="center" vertical="center"/>
    </xf>
    <xf numFmtId="44" fontId="16" fillId="0" borderId="1" xfId="0" applyNumberFormat="1" applyFont="1" applyBorder="1" applyAlignment="1">
      <alignment horizontal="center" vertical="center"/>
    </xf>
    <xf numFmtId="44" fontId="16" fillId="0" borderId="1" xfId="0" applyNumberFormat="1" applyFont="1" applyBorder="1" applyAlignment="1">
      <alignment horizontal="center" vertical="center" wrapText="1"/>
    </xf>
    <xf numFmtId="44" fontId="15" fillId="0" borderId="0" xfId="0" applyNumberFormat="1" applyFont="1"/>
    <xf numFmtId="44" fontId="16" fillId="0" borderId="1" xfId="1" applyFont="1" applyBorder="1" applyAlignment="1">
      <alignment horizontal="center" vertical="center"/>
    </xf>
    <xf numFmtId="44" fontId="16" fillId="20" borderId="1" xfId="1" applyFont="1" applyFill="1" applyBorder="1" applyAlignment="1">
      <alignment horizontal="center" vertical="center"/>
    </xf>
    <xf numFmtId="0" fontId="15" fillId="0" borderId="5" xfId="0" applyFont="1" applyBorder="1" applyAlignment="1">
      <alignment horizontal="center" vertical="center"/>
    </xf>
    <xf numFmtId="0" fontId="15" fillId="0" borderId="5" xfId="0" applyFont="1" applyBorder="1" applyAlignment="1">
      <alignment horizontal="left" vertical="center" wrapText="1"/>
    </xf>
    <xf numFmtId="44" fontId="15" fillId="0" borderId="5" xfId="0" applyNumberFormat="1" applyFont="1" applyBorder="1" applyAlignment="1">
      <alignment horizontal="center" vertical="center" wrapText="1"/>
    </xf>
    <xf numFmtId="44" fontId="0" fillId="0" borderId="5" xfId="0" applyNumberFormat="1" applyBorder="1" applyAlignment="1">
      <alignment vertical="center"/>
    </xf>
    <xf numFmtId="44" fontId="15" fillId="0" borderId="5" xfId="0" applyNumberFormat="1" applyFont="1" applyBorder="1" applyAlignment="1">
      <alignment vertical="center"/>
    </xf>
    <xf numFmtId="44" fontId="15" fillId="0" borderId="1" xfId="0" applyNumberFormat="1" applyFont="1" applyBorder="1" applyAlignment="1">
      <alignment vertical="center"/>
    </xf>
    <xf numFmtId="44" fontId="17" fillId="0" borderId="1" xfId="0" applyNumberFormat="1" applyFont="1" applyBorder="1" applyAlignment="1">
      <alignment vertical="center"/>
    </xf>
    <xf numFmtId="44" fontId="17" fillId="20" borderId="1" xfId="0" applyNumberFormat="1" applyFont="1" applyFill="1" applyBorder="1" applyAlignment="1">
      <alignment vertical="center"/>
    </xf>
    <xf numFmtId="0" fontId="19" fillId="0" borderId="1" xfId="0" applyFont="1" applyBorder="1" applyAlignment="1">
      <alignment horizontal="center" vertical="center"/>
    </xf>
    <xf numFmtId="44" fontId="0" fillId="0" borderId="1" xfId="0" applyNumberFormat="1" applyBorder="1" applyAlignment="1">
      <alignment horizontal="center" vertical="center" wrapText="1"/>
    </xf>
    <xf numFmtId="0" fontId="0" fillId="0" borderId="1" xfId="0" applyBorder="1" applyAlignment="1">
      <alignment horizontal="center" vertical="center"/>
    </xf>
    <xf numFmtId="0" fontId="15" fillId="0" borderId="5" xfId="0" applyFont="1" applyBorder="1" applyAlignment="1">
      <alignment horizontal="center" vertical="center" wrapText="1"/>
    </xf>
    <xf numFmtId="44" fontId="19" fillId="6" borderId="0" xfId="0" applyNumberFormat="1" applyFont="1" applyFill="1" applyAlignment="1">
      <alignment vertical="center" wrapText="1"/>
    </xf>
    <xf numFmtId="0" fontId="21" fillId="0" borderId="0" xfId="0" applyFont="1" applyAlignment="1">
      <alignment horizontal="left" vertical="center" wrapText="1" indent="1"/>
    </xf>
    <xf numFmtId="0" fontId="21" fillId="0" borderId="1" xfId="0" applyFont="1" applyBorder="1" applyAlignment="1">
      <alignment horizontal="left" vertical="center" wrapText="1" indent="1"/>
    </xf>
    <xf numFmtId="0" fontId="14" fillId="8" borderId="1" xfId="2" applyFont="1" applyFill="1" applyBorder="1" applyAlignment="1">
      <alignment horizontal="center" vertical="center"/>
    </xf>
    <xf numFmtId="166" fontId="14" fillId="8" borderId="1" xfId="2" applyNumberFormat="1" applyFont="1" applyFill="1" applyBorder="1" applyAlignment="1">
      <alignment horizontal="center" vertical="center"/>
    </xf>
    <xf numFmtId="0" fontId="13" fillId="0" borderId="1" xfId="2" applyFont="1" applyBorder="1" applyAlignment="1">
      <alignment horizontal="center" vertical="center" wrapText="1"/>
    </xf>
    <xf numFmtId="165" fontId="15" fillId="0" borderId="1" xfId="3" applyFont="1" applyBorder="1" applyAlignment="1" applyProtection="1">
      <alignment horizontal="center" vertical="center" wrapText="1"/>
    </xf>
    <xf numFmtId="0" fontId="22" fillId="0" borderId="1" xfId="0" applyFont="1" applyBorder="1" applyAlignment="1">
      <alignment vertical="center" wrapText="1"/>
    </xf>
    <xf numFmtId="0" fontId="0" fillId="0" borderId="0" xfId="0" applyAlignment="1">
      <alignment vertical="center" wrapText="1"/>
    </xf>
    <xf numFmtId="0" fontId="15" fillId="0" borderId="1" xfId="2" applyFont="1" applyBorder="1" applyAlignment="1">
      <alignment horizontal="center" vertical="center" wrapText="1"/>
    </xf>
    <xf numFmtId="0" fontId="15" fillId="0" borderId="1" xfId="2" applyFont="1" applyBorder="1" applyAlignment="1">
      <alignment horizontal="center" vertical="center"/>
    </xf>
    <xf numFmtId="165" fontId="15" fillId="0" borderId="1" xfId="3" applyFont="1" applyBorder="1" applyAlignment="1" applyProtection="1">
      <alignment horizontal="center" vertical="center"/>
    </xf>
    <xf numFmtId="0" fontId="13" fillId="5" borderId="1" xfId="2" applyFont="1" applyFill="1" applyBorder="1" applyAlignment="1">
      <alignment horizontal="center" vertical="center"/>
    </xf>
    <xf numFmtId="165" fontId="15" fillId="5" borderId="1" xfId="3" applyFont="1" applyFill="1" applyBorder="1" applyAlignment="1" applyProtection="1">
      <alignment horizontal="center" vertical="center"/>
    </xf>
    <xf numFmtId="0" fontId="0" fillId="0" borderId="0" xfId="0" applyAlignment="1">
      <alignment vertical="center"/>
    </xf>
    <xf numFmtId="0" fontId="14" fillId="8" borderId="1" xfId="2" applyFont="1" applyFill="1" applyBorder="1" applyAlignment="1">
      <alignment horizontal="center" vertical="center" wrapText="1"/>
    </xf>
    <xf numFmtId="0" fontId="13" fillId="5" borderId="1" xfId="2" applyFont="1" applyFill="1" applyBorder="1" applyAlignment="1">
      <alignment vertical="center" wrapText="1"/>
    </xf>
    <xf numFmtId="10" fontId="13" fillId="5" borderId="1" xfId="8" applyNumberFormat="1" applyFont="1" applyFill="1" applyBorder="1" applyAlignment="1">
      <alignment horizontal="center" vertical="center"/>
    </xf>
    <xf numFmtId="10" fontId="6" fillId="0" borderId="1" xfId="0" applyNumberFormat="1" applyFont="1" applyBorder="1" applyAlignment="1">
      <alignment horizontal="center" vertical="center"/>
    </xf>
    <xf numFmtId="0" fontId="15" fillId="5" borderId="1" xfId="2" applyFont="1" applyFill="1" applyBorder="1" applyAlignment="1">
      <alignment vertical="center" wrapText="1"/>
    </xf>
    <xf numFmtId="10" fontId="15" fillId="5" borderId="1" xfId="8" applyNumberFormat="1" applyFont="1" applyFill="1" applyBorder="1" applyAlignment="1">
      <alignment horizontal="center" vertical="center"/>
    </xf>
    <xf numFmtId="9" fontId="13" fillId="5" borderId="1" xfId="8" applyFont="1" applyFill="1" applyBorder="1" applyAlignment="1">
      <alignment horizontal="center" vertical="center"/>
    </xf>
    <xf numFmtId="169" fontId="15" fillId="5" borderId="1" xfId="8" applyNumberFormat="1" applyFont="1" applyFill="1" applyBorder="1" applyAlignment="1">
      <alignment horizontal="center" vertical="center"/>
    </xf>
    <xf numFmtId="169" fontId="13" fillId="5" borderId="1" xfId="8" applyNumberFormat="1" applyFont="1" applyFill="1" applyBorder="1" applyAlignment="1">
      <alignment horizontal="center" vertical="center"/>
    </xf>
    <xf numFmtId="0" fontId="15" fillId="0" borderId="0" xfId="2" applyFont="1" applyAlignment="1">
      <alignment horizontal="center" vertical="center"/>
    </xf>
    <xf numFmtId="0" fontId="15" fillId="5" borderId="0" xfId="2" applyFont="1" applyFill="1" applyAlignment="1">
      <alignment vertical="center" wrapText="1"/>
    </xf>
    <xf numFmtId="169" fontId="15" fillId="5" borderId="0" xfId="8" applyNumberFormat="1" applyFont="1" applyFill="1" applyBorder="1" applyAlignment="1">
      <alignment horizontal="center" vertical="center"/>
    </xf>
    <xf numFmtId="10" fontId="6" fillId="0" borderId="0" xfId="0" applyNumberFormat="1" applyFont="1" applyAlignment="1">
      <alignment horizontal="center" vertical="center"/>
    </xf>
    <xf numFmtId="165" fontId="15" fillId="0" borderId="0" xfId="3" applyFont="1" applyBorder="1" applyAlignment="1" applyProtection="1">
      <alignment horizontal="left" vertical="center"/>
    </xf>
    <xf numFmtId="8" fontId="0" fillId="0" borderId="1" xfId="0" applyNumberFormat="1" applyBorder="1" applyAlignment="1">
      <alignment horizontal="center" vertical="center"/>
    </xf>
    <xf numFmtId="0" fontId="14" fillId="8" borderId="2" xfId="2" applyFont="1" applyFill="1" applyBorder="1" applyAlignment="1">
      <alignment vertical="center" wrapText="1"/>
    </xf>
    <xf numFmtId="0" fontId="0" fillId="0" borderId="1" xfId="0" applyBorder="1" applyAlignment="1">
      <alignment vertical="center" wrapText="1"/>
    </xf>
    <xf numFmtId="169" fontId="0" fillId="0" borderId="0" xfId="8" applyNumberFormat="1" applyFont="1"/>
    <xf numFmtId="44" fontId="0" fillId="0" borderId="0" xfId="0" applyNumberFormat="1" applyAlignment="1">
      <alignment horizontal="center"/>
    </xf>
    <xf numFmtId="44" fontId="0" fillId="0" borderId="6" xfId="0" applyNumberFormat="1" applyBorder="1" applyAlignment="1">
      <alignment horizontal="center"/>
    </xf>
    <xf numFmtId="0" fontId="13" fillId="0" borderId="0" xfId="2" applyFont="1" applyAlignment="1">
      <alignment wrapText="1"/>
    </xf>
    <xf numFmtId="0" fontId="15" fillId="5" borderId="2" xfId="2" applyFont="1" applyFill="1" applyBorder="1" applyAlignment="1">
      <alignment horizontal="left"/>
    </xf>
    <xf numFmtId="0" fontId="15" fillId="5" borderId="3" xfId="2" applyFont="1" applyFill="1" applyBorder="1" applyAlignment="1">
      <alignment horizontal="left"/>
    </xf>
    <xf numFmtId="0" fontId="15" fillId="5" borderId="4" xfId="2" applyFont="1" applyFill="1" applyBorder="1" applyAlignment="1">
      <alignment horizontal="left"/>
    </xf>
    <xf numFmtId="165" fontId="13" fillId="0" borderId="4" xfId="3" applyFont="1" applyBorder="1" applyAlignment="1" applyProtection="1">
      <alignment horizontal="center"/>
    </xf>
    <xf numFmtId="0" fontId="15" fillId="5" borderId="3" xfId="2" applyFont="1" applyFill="1" applyBorder="1" applyAlignment="1">
      <alignment horizontal="center"/>
    </xf>
    <xf numFmtId="0" fontId="16" fillId="0" borderId="0" xfId="2" applyFont="1"/>
    <xf numFmtId="165" fontId="15" fillId="0" borderId="0" xfId="3" applyFont="1" applyBorder="1" applyProtection="1"/>
    <xf numFmtId="165" fontId="14" fillId="0" borderId="0" xfId="3" applyFont="1" applyBorder="1" applyProtection="1"/>
    <xf numFmtId="10" fontId="6" fillId="0" borderId="0" xfId="8" applyNumberFormat="1" applyFont="1"/>
    <xf numFmtId="167" fontId="6" fillId="0" borderId="0" xfId="8" applyNumberFormat="1" applyFont="1"/>
    <xf numFmtId="44" fontId="4" fillId="3" borderId="1" xfId="0" applyNumberFormat="1" applyFont="1" applyFill="1" applyBorder="1" applyAlignment="1">
      <alignment vertical="center"/>
    </xf>
    <xf numFmtId="44" fontId="4" fillId="16" borderId="1" xfId="0" applyNumberFormat="1" applyFont="1" applyFill="1" applyBorder="1" applyAlignment="1">
      <alignment vertical="center"/>
    </xf>
    <xf numFmtId="44" fontId="12" fillId="0" borderId="0" xfId="2" applyNumberFormat="1" applyFont="1" applyProtection="1">
      <protection locked="0"/>
    </xf>
    <xf numFmtId="44" fontId="23" fillId="0" borderId="0" xfId="2" applyNumberFormat="1" applyFont="1" applyProtection="1">
      <protection locked="0"/>
    </xf>
    <xf numFmtId="0" fontId="22" fillId="0" borderId="1" xfId="0" applyFont="1" applyBorder="1" applyAlignment="1">
      <alignment horizontal="left" vertical="center" wrapText="1"/>
    </xf>
    <xf numFmtId="0" fontId="22" fillId="0" borderId="1" xfId="0" applyFont="1" applyBorder="1" applyAlignment="1">
      <alignment horizontal="center" vertical="center" wrapText="1"/>
    </xf>
    <xf numFmtId="0" fontId="15" fillId="0" borderId="1" xfId="2" applyFont="1" applyBorder="1" applyAlignment="1">
      <alignment horizontal="left"/>
    </xf>
    <xf numFmtId="0" fontId="16" fillId="8" borderId="1" xfId="2" applyFont="1" applyFill="1" applyBorder="1" applyAlignment="1">
      <alignment horizontal="left"/>
    </xf>
    <xf numFmtId="0" fontId="15" fillId="6" borderId="4" xfId="2" applyFont="1" applyFill="1" applyBorder="1" applyAlignment="1">
      <alignment horizontal="left" vertical="center"/>
    </xf>
    <xf numFmtId="0" fontId="1" fillId="6" borderId="3" xfId="2" applyFont="1" applyFill="1" applyBorder="1" applyAlignment="1">
      <alignment horizontal="left" vertical="center"/>
    </xf>
    <xf numFmtId="0" fontId="1" fillId="6" borderId="4" xfId="2" applyFont="1" applyFill="1" applyBorder="1" applyAlignment="1">
      <alignment horizontal="left" vertical="center"/>
    </xf>
    <xf numFmtId="0" fontId="14" fillId="8" borderId="1" xfId="2" applyFont="1" applyFill="1" applyBorder="1" applyAlignment="1">
      <alignment horizontal="left"/>
    </xf>
    <xf numFmtId="0" fontId="16" fillId="8" borderId="4" xfId="2" applyFont="1" applyFill="1" applyBorder="1" applyAlignment="1">
      <alignment horizontal="center"/>
    </xf>
    <xf numFmtId="0" fontId="14" fillId="8" borderId="2" xfId="2" applyFont="1" applyFill="1" applyBorder="1" applyAlignment="1">
      <alignment horizontal="center"/>
    </xf>
    <xf numFmtId="0" fontId="14" fillId="8" borderId="2" xfId="2" applyFont="1" applyFill="1" applyBorder="1" applyAlignment="1">
      <alignment horizontal="left"/>
    </xf>
    <xf numFmtId="0" fontId="14" fillId="8" borderId="4" xfId="2" applyFont="1" applyFill="1" applyBorder="1" applyAlignment="1">
      <alignment horizontal="left"/>
    </xf>
    <xf numFmtId="0" fontId="16" fillId="8" borderId="2" xfId="2" applyFont="1" applyFill="1" applyBorder="1" applyAlignment="1">
      <alignment horizontal="center"/>
    </xf>
    <xf numFmtId="0" fontId="13" fillId="0" borderId="2" xfId="2" applyFont="1" applyBorder="1" applyAlignment="1">
      <alignment horizontal="left"/>
    </xf>
    <xf numFmtId="0" fontId="13" fillId="0" borderId="4" xfId="2" applyFont="1" applyBorder="1" applyAlignment="1">
      <alignment horizontal="left"/>
    </xf>
    <xf numFmtId="0" fontId="13" fillId="0" borderId="1" xfId="2" applyFont="1" applyBorder="1" applyAlignment="1">
      <alignment horizontal="left"/>
    </xf>
    <xf numFmtId="0" fontId="12" fillId="0" borderId="3" xfId="2" applyFont="1" applyBorder="1" applyAlignment="1" applyProtection="1">
      <alignment horizontal="left"/>
      <protection locked="0"/>
    </xf>
    <xf numFmtId="0" fontId="13" fillId="5" borderId="1" xfId="2" applyFont="1" applyFill="1" applyBorder="1" applyAlignment="1">
      <alignment horizontal="left"/>
    </xf>
    <xf numFmtId="0" fontId="13" fillId="5" borderId="2" xfId="2" applyFont="1" applyFill="1" applyBorder="1" applyAlignment="1">
      <alignment horizontal="left"/>
    </xf>
    <xf numFmtId="165" fontId="13" fillId="0" borderId="3" xfId="3" applyFont="1" applyBorder="1" applyAlignment="1" applyProtection="1">
      <alignment horizontal="center"/>
    </xf>
    <xf numFmtId="0" fontId="13" fillId="0" borderId="0" xfId="2" applyFont="1" applyAlignment="1">
      <alignment horizontal="left"/>
    </xf>
    <xf numFmtId="0" fontId="13" fillId="0" borderId="12" xfId="2" applyFont="1" applyBorder="1" applyAlignment="1">
      <alignment horizontal="center"/>
    </xf>
    <xf numFmtId="165" fontId="13" fillId="0" borderId="10" xfId="3" applyFont="1" applyBorder="1" applyProtection="1"/>
    <xf numFmtId="165" fontId="13" fillId="0" borderId="2" xfId="3" applyFont="1" applyBorder="1" applyProtection="1"/>
    <xf numFmtId="10" fontId="13" fillId="0" borderId="0" xfId="2" applyNumberFormat="1" applyFont="1"/>
    <xf numFmtId="0" fontId="1" fillId="6" borderId="1" xfId="2" applyFont="1" applyFill="1" applyBorder="1" applyAlignment="1">
      <alignment horizontal="left" vertical="center"/>
    </xf>
    <xf numFmtId="10" fontId="13" fillId="0" borderId="1" xfId="4" applyNumberFormat="1" applyFont="1" applyBorder="1" applyAlignment="1" applyProtection="1">
      <alignment horizontal="center"/>
      <protection locked="0"/>
    </xf>
    <xf numFmtId="10" fontId="16" fillId="8" borderId="2" xfId="2" applyNumberFormat="1" applyFont="1" applyFill="1" applyBorder="1"/>
    <xf numFmtId="10" fontId="16" fillId="8" borderId="4" xfId="2" applyNumberFormat="1" applyFont="1" applyFill="1" applyBorder="1"/>
    <xf numFmtId="43" fontId="13" fillId="0" borderId="0" xfId="2" applyNumberFormat="1" applyFont="1"/>
    <xf numFmtId="170" fontId="13" fillId="5" borderId="1" xfId="8" applyNumberFormat="1" applyFont="1" applyFill="1" applyBorder="1" applyAlignment="1">
      <alignment horizontal="center" vertical="center"/>
    </xf>
    <xf numFmtId="3" fontId="0" fillId="0" borderId="0" xfId="0" applyNumberFormat="1" applyAlignment="1">
      <alignment vertical="center" wrapText="1"/>
    </xf>
    <xf numFmtId="9" fontId="0" fillId="0" borderId="0" xfId="0" applyNumberFormat="1" applyAlignment="1">
      <alignment horizontal="center" vertical="center"/>
    </xf>
    <xf numFmtId="0" fontId="0" fillId="0" borderId="1" xfId="0" applyBorder="1" applyAlignment="1">
      <alignment vertical="center"/>
    </xf>
    <xf numFmtId="44" fontId="19" fillId="15" borderId="2" xfId="0" applyNumberFormat="1" applyFont="1" applyFill="1" applyBorder="1" applyAlignment="1">
      <alignment horizontal="center"/>
    </xf>
    <xf numFmtId="44" fontId="19" fillId="15" borderId="4" xfId="0" applyNumberFormat="1" applyFont="1" applyFill="1" applyBorder="1" applyAlignment="1">
      <alignment horizontal="center"/>
    </xf>
    <xf numFmtId="164" fontId="4" fillId="16" borderId="1" xfId="0" applyNumberFormat="1" applyFont="1" applyFill="1" applyBorder="1" applyAlignment="1">
      <alignment horizontal="center" vertical="center"/>
    </xf>
    <xf numFmtId="0" fontId="9" fillId="0" borderId="0" xfId="0" applyFont="1" applyAlignment="1">
      <alignment horizontal="center" vertical="center"/>
    </xf>
    <xf numFmtId="0" fontId="7" fillId="4" borderId="2" xfId="0" applyFont="1" applyFill="1" applyBorder="1" applyAlignment="1">
      <alignment horizontal="center" vertical="center"/>
    </xf>
    <xf numFmtId="0" fontId="7" fillId="4" borderId="4" xfId="0" applyFont="1" applyFill="1" applyBorder="1" applyAlignment="1">
      <alignment horizontal="center" vertical="center"/>
    </xf>
    <xf numFmtId="164" fontId="4" fillId="3" borderId="12" xfId="0" applyNumberFormat="1" applyFont="1" applyFill="1" applyBorder="1" applyAlignment="1">
      <alignment horizontal="center" vertical="center"/>
    </xf>
    <xf numFmtId="164" fontId="4" fillId="3" borderId="10" xfId="0" applyNumberFormat="1" applyFont="1" applyFill="1" applyBorder="1" applyAlignment="1">
      <alignment horizontal="center" vertical="center"/>
    </xf>
    <xf numFmtId="0" fontId="7" fillId="17" borderId="2" xfId="0" applyFont="1" applyFill="1" applyBorder="1" applyAlignment="1">
      <alignment horizontal="center" vertical="center"/>
    </xf>
    <xf numFmtId="0" fontId="7" fillId="17" borderId="4" xfId="0" applyFont="1" applyFill="1" applyBorder="1" applyAlignment="1">
      <alignment horizontal="center" vertical="center"/>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44" fontId="7" fillId="4" borderId="2" xfId="0" applyNumberFormat="1" applyFont="1" applyFill="1" applyBorder="1" applyAlignment="1">
      <alignment horizontal="center" vertical="center"/>
    </xf>
    <xf numFmtId="44" fontId="7" fillId="4" borderId="4" xfId="0" applyNumberFormat="1" applyFont="1" applyFill="1" applyBorder="1" applyAlignment="1">
      <alignment horizontal="center" vertical="center"/>
    </xf>
    <xf numFmtId="0" fontId="19" fillId="15" borderId="2" xfId="0" applyFont="1" applyFill="1" applyBorder="1" applyAlignment="1">
      <alignment horizontal="center"/>
    </xf>
    <xf numFmtId="0" fontId="19" fillId="15" borderId="3" xfId="0" applyFont="1" applyFill="1" applyBorder="1" applyAlignment="1">
      <alignment horizontal="center"/>
    </xf>
    <xf numFmtId="0" fontId="19" fillId="15" borderId="4" xfId="0" applyFont="1" applyFill="1" applyBorder="1" applyAlignment="1">
      <alignment horizontal="center"/>
    </xf>
    <xf numFmtId="0" fontId="14" fillId="10" borderId="10" xfId="2" applyFont="1" applyFill="1" applyBorder="1" applyAlignment="1">
      <alignment horizontal="center" vertical="center"/>
    </xf>
    <xf numFmtId="0" fontId="14" fillId="10" borderId="8" xfId="2" applyFont="1" applyFill="1" applyBorder="1" applyAlignment="1">
      <alignment horizontal="center" vertical="center"/>
    </xf>
    <xf numFmtId="0" fontId="14" fillId="8" borderId="2" xfId="2" applyFont="1" applyFill="1" applyBorder="1" applyAlignment="1">
      <alignment horizontal="center" vertical="center"/>
    </xf>
    <xf numFmtId="0" fontId="14" fillId="8" borderId="4" xfId="2" applyFont="1" applyFill="1" applyBorder="1" applyAlignment="1">
      <alignment horizontal="center" vertical="center"/>
    </xf>
    <xf numFmtId="0" fontId="13" fillId="5" borderId="1" xfId="2" applyFont="1" applyFill="1" applyBorder="1" applyAlignment="1">
      <alignment horizontal="left" vertical="center" wrapText="1"/>
    </xf>
    <xf numFmtId="0" fontId="15" fillId="5" borderId="1" xfId="2" applyFont="1" applyFill="1" applyBorder="1" applyAlignment="1">
      <alignment horizontal="left" vertical="center" wrapText="1"/>
    </xf>
    <xf numFmtId="0" fontId="0" fillId="0" borderId="2" xfId="0" applyBorder="1" applyAlignment="1">
      <alignment horizontal="left" vertical="center" wrapText="1"/>
    </xf>
    <xf numFmtId="0" fontId="0" fillId="0" borderId="4" xfId="0" applyBorder="1" applyAlignment="1">
      <alignment horizontal="left" vertical="center" wrapText="1"/>
    </xf>
    <xf numFmtId="0" fontId="14" fillId="8" borderId="2" xfId="2" applyFont="1" applyFill="1" applyBorder="1" applyAlignment="1">
      <alignment horizontal="center" vertical="center" wrapText="1"/>
    </xf>
    <xf numFmtId="0" fontId="14" fillId="8" borderId="4" xfId="2" applyFont="1" applyFill="1" applyBorder="1" applyAlignment="1">
      <alignment horizontal="center" vertical="center" wrapText="1"/>
    </xf>
    <xf numFmtId="0" fontId="15" fillId="5" borderId="2" xfId="2" applyFont="1" applyFill="1" applyBorder="1" applyAlignment="1">
      <alignment horizontal="center" vertical="center" wrapText="1"/>
    </xf>
    <xf numFmtId="0" fontId="15" fillId="5" borderId="4" xfId="2" applyFont="1" applyFill="1" applyBorder="1" applyAlignment="1">
      <alignment horizontal="center" vertical="center" wrapText="1"/>
    </xf>
    <xf numFmtId="0" fontId="15" fillId="5" borderId="2" xfId="2" applyFont="1" applyFill="1" applyBorder="1" applyAlignment="1">
      <alignment horizontal="left" vertical="center" wrapText="1"/>
    </xf>
    <xf numFmtId="0" fontId="15" fillId="5" borderId="4" xfId="2" applyFont="1" applyFill="1" applyBorder="1" applyAlignment="1">
      <alignment horizontal="left" vertical="center" wrapText="1"/>
    </xf>
    <xf numFmtId="0" fontId="22" fillId="0" borderId="7" xfId="0" applyFont="1" applyBorder="1" applyAlignment="1">
      <alignment horizontal="left" vertical="center" wrapText="1"/>
    </xf>
    <xf numFmtId="0" fontId="22" fillId="0" borderId="5" xfId="0" applyFont="1" applyBorder="1" applyAlignment="1">
      <alignment horizontal="left" vertical="center" wrapText="1"/>
    </xf>
    <xf numFmtId="0" fontId="15" fillId="0" borderId="1" xfId="2" applyFont="1" applyBorder="1" applyAlignment="1">
      <alignment horizontal="left"/>
    </xf>
    <xf numFmtId="165" fontId="15" fillId="0" borderId="1" xfId="3" applyFont="1" applyBorder="1" applyAlignment="1" applyProtection="1">
      <alignment horizontal="left"/>
    </xf>
    <xf numFmtId="0" fontId="16" fillId="8" borderId="1" xfId="2" applyFont="1" applyFill="1" applyBorder="1" applyAlignment="1">
      <alignment horizontal="center"/>
    </xf>
    <xf numFmtId="44" fontId="7" fillId="7" borderId="2" xfId="0" applyNumberFormat="1" applyFont="1" applyFill="1" applyBorder="1" applyAlignment="1">
      <alignment horizontal="center"/>
    </xf>
    <xf numFmtId="44" fontId="7" fillId="7" borderId="4" xfId="0" applyNumberFormat="1" applyFont="1" applyFill="1" applyBorder="1" applyAlignment="1">
      <alignment horizontal="center"/>
    </xf>
    <xf numFmtId="0" fontId="16" fillId="8" borderId="2" xfId="2" applyFont="1" applyFill="1" applyBorder="1" applyAlignment="1">
      <alignment horizontal="center"/>
    </xf>
    <xf numFmtId="0" fontId="16" fillId="8" borderId="4" xfId="2" applyFont="1" applyFill="1" applyBorder="1" applyAlignment="1">
      <alignment horizontal="center"/>
    </xf>
    <xf numFmtId="10" fontId="15" fillId="0" borderId="2" xfId="8" applyNumberFormat="1" applyFont="1" applyBorder="1" applyAlignment="1">
      <alignment horizontal="center"/>
    </xf>
    <xf numFmtId="10" fontId="15" fillId="0" borderId="4" xfId="8" applyNumberFormat="1" applyFont="1" applyBorder="1" applyAlignment="1">
      <alignment horizontal="center"/>
    </xf>
    <xf numFmtId="164" fontId="4" fillId="3" borderId="0" xfId="0" applyNumberFormat="1" applyFont="1" applyFill="1" applyAlignment="1">
      <alignment horizontal="center" vertical="center"/>
    </xf>
    <xf numFmtId="0" fontId="14" fillId="10" borderId="2" xfId="2" applyFont="1" applyFill="1" applyBorder="1" applyAlignment="1">
      <alignment horizontal="center"/>
    </xf>
    <xf numFmtId="0" fontId="14" fillId="10" borderId="3" xfId="2" applyFont="1" applyFill="1" applyBorder="1" applyAlignment="1">
      <alignment horizontal="center"/>
    </xf>
    <xf numFmtId="0" fontId="14" fillId="10" borderId="4" xfId="2" applyFont="1" applyFill="1" applyBorder="1" applyAlignment="1">
      <alignment horizontal="center"/>
    </xf>
    <xf numFmtId="165" fontId="16" fillId="8" borderId="1" xfId="3" applyFont="1" applyFill="1" applyBorder="1" applyAlignment="1" applyProtection="1">
      <alignment horizontal="left"/>
    </xf>
    <xf numFmtId="0" fontId="11" fillId="0" borderId="6" xfId="2" applyFont="1" applyBorder="1" applyAlignment="1">
      <alignment horizontal="center"/>
    </xf>
    <xf numFmtId="0" fontId="11" fillId="0" borderId="0" xfId="2" applyFont="1" applyAlignment="1">
      <alignment horizontal="center"/>
    </xf>
    <xf numFmtId="0" fontId="15" fillId="0" borderId="1" xfId="2" applyFont="1" applyBorder="1" applyAlignment="1">
      <alignment horizontal="right"/>
    </xf>
    <xf numFmtId="0" fontId="15" fillId="5" borderId="7" xfId="2" applyFont="1" applyFill="1" applyBorder="1" applyAlignment="1">
      <alignment horizontal="left" vertical="center"/>
    </xf>
    <xf numFmtId="0" fontId="15" fillId="5" borderId="5" xfId="2" applyFont="1" applyFill="1" applyBorder="1" applyAlignment="1">
      <alignment horizontal="left" vertical="center"/>
    </xf>
    <xf numFmtId="0" fontId="11" fillId="5" borderId="0" xfId="2" applyFont="1" applyFill="1" applyAlignment="1">
      <alignment horizontal="left"/>
    </xf>
    <xf numFmtId="0" fontId="16" fillId="8" borderId="1" xfId="2" applyFont="1" applyFill="1" applyBorder="1" applyAlignment="1">
      <alignment horizontal="left"/>
    </xf>
    <xf numFmtId="0" fontId="15" fillId="6" borderId="2" xfId="2" applyFont="1" applyFill="1" applyBorder="1" applyAlignment="1">
      <alignment horizontal="left" vertical="center"/>
    </xf>
    <xf numFmtId="0" fontId="15" fillId="6" borderId="3" xfId="2" applyFont="1" applyFill="1" applyBorder="1" applyAlignment="1">
      <alignment horizontal="left" vertical="center"/>
    </xf>
    <xf numFmtId="0" fontId="15" fillId="6" borderId="4" xfId="2" applyFont="1" applyFill="1" applyBorder="1" applyAlignment="1">
      <alignment horizontal="left" vertical="center"/>
    </xf>
    <xf numFmtId="165" fontId="15" fillId="5" borderId="1" xfId="3" applyFont="1" applyFill="1" applyBorder="1" applyAlignment="1" applyProtection="1">
      <alignment horizontal="left"/>
    </xf>
    <xf numFmtId="0" fontId="1" fillId="6" borderId="2" xfId="2" applyFont="1" applyFill="1" applyBorder="1" applyAlignment="1">
      <alignment horizontal="left" vertical="center"/>
    </xf>
    <xf numFmtId="0" fontId="1" fillId="6" borderId="3" xfId="2" applyFont="1" applyFill="1" applyBorder="1" applyAlignment="1">
      <alignment horizontal="left" vertical="center"/>
    </xf>
    <xf numFmtId="0" fontId="1" fillId="6" borderId="4" xfId="2" applyFont="1" applyFill="1" applyBorder="1" applyAlignment="1">
      <alignment horizontal="left" vertical="center"/>
    </xf>
    <xf numFmtId="165" fontId="15" fillId="5" borderId="2" xfId="3" applyFont="1" applyFill="1" applyBorder="1" applyAlignment="1" applyProtection="1">
      <alignment horizontal="left"/>
    </xf>
    <xf numFmtId="165" fontId="15" fillId="5" borderId="4" xfId="3" applyFont="1" applyFill="1" applyBorder="1" applyAlignment="1" applyProtection="1">
      <alignment horizontal="left"/>
    </xf>
    <xf numFmtId="0" fontId="13" fillId="0" borderId="0" xfId="2" applyFont="1" applyAlignment="1">
      <alignment horizontal="center"/>
    </xf>
    <xf numFmtId="0" fontId="14" fillId="8" borderId="1" xfId="2" applyFont="1" applyFill="1" applyBorder="1" applyAlignment="1">
      <alignment horizontal="left"/>
    </xf>
    <xf numFmtId="0" fontId="14" fillId="8" borderId="1" xfId="2" applyFont="1" applyFill="1" applyBorder="1" applyAlignment="1">
      <alignment horizontal="center"/>
    </xf>
    <xf numFmtId="0" fontId="13" fillId="5" borderId="0" xfId="2" applyFont="1" applyFill="1" applyAlignment="1">
      <alignment horizontal="center"/>
    </xf>
    <xf numFmtId="0" fontId="16" fillId="5" borderId="0" xfId="2" applyFont="1" applyFill="1" applyAlignment="1">
      <alignment horizontal="center"/>
    </xf>
    <xf numFmtId="0" fontId="15" fillId="5" borderId="8" xfId="2" applyFont="1" applyFill="1" applyBorder="1" applyAlignment="1">
      <alignment horizontal="center"/>
    </xf>
    <xf numFmtId="0" fontId="16" fillId="8" borderId="3" xfId="2" applyFont="1" applyFill="1" applyBorder="1" applyAlignment="1">
      <alignment horizontal="center"/>
    </xf>
    <xf numFmtId="165" fontId="15" fillId="0" borderId="3" xfId="3" applyFont="1" applyBorder="1" applyAlignment="1" applyProtection="1">
      <alignment horizontal="center"/>
    </xf>
    <xf numFmtId="165" fontId="15" fillId="0" borderId="4" xfId="3" applyFont="1" applyBorder="1" applyAlignment="1" applyProtection="1">
      <alignment horizontal="center"/>
    </xf>
    <xf numFmtId="165" fontId="14" fillId="8" borderId="3" xfId="3" applyFont="1" applyFill="1" applyBorder="1" applyAlignment="1" applyProtection="1">
      <alignment horizontal="center"/>
    </xf>
    <xf numFmtId="165" fontId="14" fillId="8" borderId="4" xfId="3" applyFont="1" applyFill="1" applyBorder="1" applyAlignment="1" applyProtection="1">
      <alignment horizontal="center"/>
    </xf>
    <xf numFmtId="0" fontId="14" fillId="8" borderId="2" xfId="2" applyFont="1" applyFill="1" applyBorder="1" applyAlignment="1">
      <alignment horizontal="center"/>
    </xf>
    <xf numFmtId="0" fontId="14" fillId="8" borderId="3" xfId="2" applyFont="1" applyFill="1" applyBorder="1" applyAlignment="1">
      <alignment horizontal="center"/>
    </xf>
    <xf numFmtId="0" fontId="14" fillId="8" borderId="4" xfId="2" applyFont="1" applyFill="1" applyBorder="1" applyAlignment="1">
      <alignment horizontal="center"/>
    </xf>
    <xf numFmtId="0" fontId="13" fillId="0" borderId="0" xfId="2" applyFont="1" applyAlignment="1">
      <alignment horizontal="left"/>
    </xf>
    <xf numFmtId="0" fontId="14" fillId="8" borderId="2" xfId="2" applyFont="1" applyFill="1" applyBorder="1" applyAlignment="1">
      <alignment horizontal="left"/>
    </xf>
    <xf numFmtId="0" fontId="14" fillId="8" borderId="3" xfId="2" applyFont="1" applyFill="1" applyBorder="1" applyAlignment="1">
      <alignment horizontal="left"/>
    </xf>
    <xf numFmtId="0" fontId="14" fillId="8" borderId="4" xfId="2" applyFont="1" applyFill="1" applyBorder="1" applyAlignment="1">
      <alignment horizontal="left"/>
    </xf>
    <xf numFmtId="0" fontId="13" fillId="0" borderId="2" xfId="2" applyFont="1" applyBorder="1" applyAlignment="1">
      <alignment horizontal="left"/>
    </xf>
    <xf numFmtId="0" fontId="13" fillId="0" borderId="3" xfId="2" applyFont="1" applyBorder="1" applyAlignment="1">
      <alignment horizontal="left"/>
    </xf>
    <xf numFmtId="0" fontId="13" fillId="0" borderId="4" xfId="2" applyFont="1" applyBorder="1" applyAlignment="1">
      <alignment horizontal="left"/>
    </xf>
    <xf numFmtId="167" fontId="13" fillId="0" borderId="0" xfId="2" applyNumberFormat="1" applyFont="1" applyAlignment="1">
      <alignment horizontal="left"/>
    </xf>
    <xf numFmtId="165" fontId="14" fillId="8" borderId="1" xfId="3" applyFont="1" applyFill="1" applyBorder="1" applyAlignment="1" applyProtection="1">
      <alignment horizontal="left"/>
    </xf>
    <xf numFmtId="0" fontId="13" fillId="0" borderId="3" xfId="2" applyFont="1" applyBorder="1" applyAlignment="1">
      <alignment horizontal="center"/>
    </xf>
    <xf numFmtId="0" fontId="13" fillId="0" borderId="0" xfId="2" applyFont="1" applyAlignment="1">
      <alignment horizontal="left" wrapText="1"/>
    </xf>
    <xf numFmtId="0" fontId="13" fillId="0" borderId="2" xfId="2" applyFont="1" applyBorder="1" applyAlignment="1">
      <alignment horizontal="left" vertical="center"/>
    </xf>
    <xf numFmtId="0" fontId="13" fillId="0" borderId="3" xfId="2" applyFont="1" applyBorder="1" applyAlignment="1">
      <alignment horizontal="left" vertical="center"/>
    </xf>
    <xf numFmtId="0" fontId="13" fillId="0" borderId="4" xfId="2" applyFont="1" applyBorder="1" applyAlignment="1">
      <alignment horizontal="left" vertical="center"/>
    </xf>
    <xf numFmtId="165" fontId="16" fillId="0" borderId="2" xfId="3" applyFont="1" applyBorder="1" applyAlignment="1" applyProtection="1">
      <alignment horizontal="center" vertical="center"/>
    </xf>
    <xf numFmtId="165" fontId="16" fillId="0" borderId="4" xfId="3" applyFont="1" applyBorder="1" applyAlignment="1" applyProtection="1">
      <alignment horizontal="center" vertical="center"/>
    </xf>
    <xf numFmtId="0" fontId="13" fillId="0" borderId="7" xfId="2" applyFont="1" applyBorder="1" applyAlignment="1">
      <alignment horizontal="center" vertical="center"/>
    </xf>
    <xf numFmtId="0" fontId="13" fillId="0" borderId="5" xfId="2" applyFont="1" applyBorder="1" applyAlignment="1">
      <alignment horizontal="center" vertical="center"/>
    </xf>
    <xf numFmtId="0" fontId="13" fillId="0" borderId="12" xfId="2" applyFont="1" applyBorder="1" applyAlignment="1">
      <alignment horizontal="left" vertical="center"/>
    </xf>
    <xf numFmtId="0" fontId="13" fillId="0" borderId="11" xfId="2" applyFont="1" applyBorder="1" applyAlignment="1">
      <alignment horizontal="left" vertical="center"/>
    </xf>
    <xf numFmtId="0" fontId="13" fillId="0" borderId="10" xfId="2" applyFont="1" applyBorder="1" applyAlignment="1">
      <alignment horizontal="left" vertical="center"/>
    </xf>
    <xf numFmtId="0" fontId="13" fillId="0" borderId="9" xfId="2" applyFont="1" applyBorder="1" applyAlignment="1">
      <alignment horizontal="left" vertical="center"/>
    </xf>
    <xf numFmtId="165" fontId="16" fillId="0" borderId="12" xfId="3" applyFont="1" applyBorder="1" applyAlignment="1" applyProtection="1">
      <alignment horizontal="center" vertical="center"/>
    </xf>
    <xf numFmtId="165" fontId="16" fillId="0" borderId="11" xfId="3" applyFont="1" applyBorder="1" applyAlignment="1" applyProtection="1">
      <alignment horizontal="center" vertical="center"/>
    </xf>
    <xf numFmtId="165" fontId="16" fillId="0" borderId="10" xfId="3" applyFont="1" applyBorder="1" applyAlignment="1" applyProtection="1">
      <alignment horizontal="center" vertical="center"/>
    </xf>
    <xf numFmtId="165" fontId="16" fillId="0" borderId="9" xfId="3" applyFont="1" applyBorder="1" applyAlignment="1" applyProtection="1">
      <alignment horizontal="center" vertical="center"/>
    </xf>
    <xf numFmtId="0" fontId="6" fillId="0" borderId="1" xfId="2" applyBorder="1" applyAlignment="1">
      <alignment horizontal="center" vertical="center"/>
    </xf>
    <xf numFmtId="0" fontId="7" fillId="18" borderId="1" xfId="2" applyFont="1" applyFill="1" applyBorder="1" applyAlignment="1">
      <alignment horizontal="center"/>
    </xf>
    <xf numFmtId="165" fontId="10" fillId="6" borderId="12" xfId="3" applyFont="1" applyFill="1" applyBorder="1" applyAlignment="1" applyProtection="1">
      <alignment horizontal="center" vertical="center"/>
    </xf>
    <xf numFmtId="165" fontId="10" fillId="6" borderId="11" xfId="3" applyFont="1" applyFill="1" applyBorder="1" applyAlignment="1" applyProtection="1">
      <alignment horizontal="center" vertical="center"/>
    </xf>
    <xf numFmtId="165" fontId="16" fillId="6" borderId="10" xfId="3" applyFont="1" applyFill="1" applyBorder="1" applyAlignment="1" applyProtection="1">
      <alignment horizontal="center" vertical="center"/>
    </xf>
    <xf numFmtId="165" fontId="16" fillId="6" borderId="9" xfId="3" applyFont="1" applyFill="1" applyBorder="1" applyAlignment="1" applyProtection="1">
      <alignment horizontal="center" vertical="center"/>
    </xf>
    <xf numFmtId="0" fontId="13" fillId="0" borderId="1" xfId="2" applyFont="1" applyBorder="1" applyAlignment="1">
      <alignment horizontal="left"/>
    </xf>
    <xf numFmtId="165" fontId="14" fillId="8" borderId="2" xfId="3" applyFont="1" applyFill="1" applyBorder="1" applyAlignment="1" applyProtection="1">
      <alignment horizontal="left"/>
    </xf>
    <xf numFmtId="165" fontId="14" fillId="8" borderId="4" xfId="3" applyFont="1" applyFill="1" applyBorder="1" applyAlignment="1" applyProtection="1">
      <alignment horizontal="left"/>
    </xf>
    <xf numFmtId="0" fontId="12" fillId="0" borderId="2" xfId="2" applyFont="1" applyBorder="1" applyAlignment="1" applyProtection="1">
      <alignment horizontal="left"/>
      <protection locked="0"/>
    </xf>
    <xf numFmtId="0" fontId="12" fillId="0" borderId="3" xfId="2" applyFont="1" applyBorder="1" applyAlignment="1" applyProtection="1">
      <alignment horizontal="left"/>
      <protection locked="0"/>
    </xf>
    <xf numFmtId="0" fontId="12" fillId="0" borderId="4" xfId="2" applyFont="1" applyBorder="1" applyAlignment="1" applyProtection="1">
      <alignment horizontal="left"/>
      <protection locked="0"/>
    </xf>
    <xf numFmtId="165" fontId="15" fillId="0" borderId="2" xfId="3" applyFont="1" applyBorder="1" applyAlignment="1" applyProtection="1">
      <alignment horizontal="left"/>
    </xf>
    <xf numFmtId="165" fontId="15" fillId="0" borderId="4" xfId="3" applyFont="1" applyBorder="1" applyAlignment="1" applyProtection="1">
      <alignment horizontal="left"/>
    </xf>
    <xf numFmtId="0" fontId="6" fillId="0" borderId="0" xfId="2" applyAlignment="1">
      <alignment horizontal="left"/>
    </xf>
    <xf numFmtId="0" fontId="15" fillId="5" borderId="2" xfId="2" applyFont="1" applyFill="1" applyBorder="1" applyAlignment="1">
      <alignment horizontal="left"/>
    </xf>
    <xf numFmtId="0" fontId="15" fillId="5" borderId="3" xfId="2" applyFont="1" applyFill="1" applyBorder="1" applyAlignment="1">
      <alignment horizontal="left"/>
    </xf>
    <xf numFmtId="0" fontId="15" fillId="5" borderId="4" xfId="2" applyFont="1" applyFill="1" applyBorder="1" applyAlignment="1">
      <alignment horizontal="left"/>
    </xf>
    <xf numFmtId="165" fontId="15" fillId="5" borderId="2" xfId="3" applyFont="1" applyFill="1" applyBorder="1" applyAlignment="1" applyProtection="1">
      <alignment horizontal="center"/>
    </xf>
    <xf numFmtId="165" fontId="15" fillId="5" borderId="4" xfId="3" applyFont="1" applyFill="1" applyBorder="1" applyAlignment="1" applyProtection="1">
      <alignment horizontal="center"/>
    </xf>
    <xf numFmtId="0" fontId="15" fillId="5" borderId="1" xfId="2" applyFont="1" applyFill="1" applyBorder="1" applyAlignment="1">
      <alignment horizontal="left"/>
    </xf>
    <xf numFmtId="14" fontId="13" fillId="0" borderId="2" xfId="2" quotePrefix="1" applyNumberFormat="1" applyFont="1" applyBorder="1" applyAlignment="1">
      <alignment horizontal="center"/>
    </xf>
    <xf numFmtId="14" fontId="13" fillId="0" borderId="4" xfId="2" applyNumberFormat="1" applyFont="1" applyBorder="1" applyAlignment="1">
      <alignment horizontal="center"/>
    </xf>
    <xf numFmtId="166" fontId="14" fillId="8" borderId="2" xfId="2" applyNumberFormat="1" applyFont="1" applyFill="1" applyBorder="1" applyAlignment="1">
      <alignment horizontal="center"/>
    </xf>
    <xf numFmtId="166" fontId="14" fillId="8" borderId="4" xfId="2" applyNumberFormat="1" applyFont="1" applyFill="1" applyBorder="1" applyAlignment="1">
      <alignment horizontal="center"/>
    </xf>
    <xf numFmtId="0" fontId="13" fillId="5" borderId="1" xfId="2" applyFont="1" applyFill="1" applyBorder="1" applyAlignment="1">
      <alignment horizontal="left"/>
    </xf>
    <xf numFmtId="165" fontId="16" fillId="0" borderId="2" xfId="3" applyFont="1" applyBorder="1" applyAlignment="1" applyProtection="1">
      <alignment horizontal="left"/>
    </xf>
    <xf numFmtId="165" fontId="16" fillId="0" borderId="4" xfId="3" applyFont="1" applyBorder="1" applyAlignment="1" applyProtection="1">
      <alignment horizontal="left"/>
    </xf>
    <xf numFmtId="0" fontId="13" fillId="0" borderId="2" xfId="2" applyFont="1" applyBorder="1" applyAlignment="1">
      <alignment horizontal="center" wrapText="1"/>
    </xf>
    <xf numFmtId="0" fontId="13" fillId="0" borderId="4" xfId="2" applyFont="1" applyBorder="1" applyAlignment="1">
      <alignment horizontal="center" wrapText="1"/>
    </xf>
    <xf numFmtId="0" fontId="14" fillId="5" borderId="1" xfId="2" applyFont="1" applyFill="1" applyBorder="1" applyAlignment="1">
      <alignment horizontal="center"/>
    </xf>
    <xf numFmtId="0" fontId="14" fillId="5" borderId="0" xfId="2" applyFont="1" applyFill="1" applyAlignment="1">
      <alignment horizontal="center"/>
    </xf>
    <xf numFmtId="165" fontId="13" fillId="0" borderId="2" xfId="3" applyFont="1" applyBorder="1" applyAlignment="1" applyProtection="1">
      <alignment horizontal="center"/>
    </xf>
    <xf numFmtId="165" fontId="13" fillId="0" borderId="4" xfId="3" applyFont="1" applyBorder="1" applyAlignment="1" applyProtection="1">
      <alignment horizontal="center"/>
    </xf>
    <xf numFmtId="0" fontId="3" fillId="2" borderId="0" xfId="0" applyFont="1" applyFill="1" applyAlignment="1">
      <alignment horizontal="center" vertical="center" wrapText="1"/>
    </xf>
    <xf numFmtId="0" fontId="15" fillId="5" borderId="0" xfId="2" applyFont="1" applyFill="1" applyAlignment="1">
      <alignment horizontal="left"/>
    </xf>
    <xf numFmtId="0" fontId="13" fillId="0" borderId="0" xfId="2" applyFont="1" applyAlignment="1" applyProtection="1">
      <alignment horizontal="left"/>
      <protection locked="0"/>
    </xf>
    <xf numFmtId="0" fontId="13" fillId="5" borderId="1" xfId="2" applyFont="1" applyFill="1" applyBorder="1" applyAlignment="1">
      <alignment horizontal="center"/>
    </xf>
    <xf numFmtId="0" fontId="13" fillId="21" borderId="1" xfId="2" applyFont="1" applyFill="1" applyBorder="1" applyAlignment="1">
      <alignment horizontal="center"/>
    </xf>
    <xf numFmtId="14" fontId="13" fillId="5" borderId="1" xfId="2" applyNumberFormat="1" applyFont="1" applyFill="1" applyBorder="1" applyAlignment="1">
      <alignment horizontal="center"/>
    </xf>
    <xf numFmtId="0" fontId="15" fillId="5" borderId="2" xfId="2" applyFont="1" applyFill="1" applyBorder="1" applyAlignment="1">
      <alignment horizontal="center"/>
    </xf>
    <xf numFmtId="0" fontId="15" fillId="5" borderId="3" xfId="2" applyFont="1" applyFill="1" applyBorder="1" applyAlignment="1">
      <alignment horizontal="center"/>
    </xf>
    <xf numFmtId="0" fontId="15" fillId="5" borderId="4" xfId="2" applyFont="1" applyFill="1" applyBorder="1" applyAlignment="1">
      <alignment horizontal="center"/>
    </xf>
    <xf numFmtId="0" fontId="13" fillId="5" borderId="2" xfId="2" applyFont="1" applyFill="1" applyBorder="1" applyAlignment="1">
      <alignment horizontal="left"/>
    </xf>
    <xf numFmtId="0" fontId="13" fillId="5" borderId="3" xfId="2" applyFont="1" applyFill="1" applyBorder="1" applyAlignment="1">
      <alignment horizontal="left"/>
    </xf>
    <xf numFmtId="0" fontId="13" fillId="0" borderId="2" xfId="2" applyFont="1" applyBorder="1" applyAlignment="1">
      <alignment horizontal="center"/>
    </xf>
    <xf numFmtId="0" fontId="13" fillId="0" borderId="4" xfId="2" applyFont="1" applyBorder="1" applyAlignment="1">
      <alignment horizontal="center"/>
    </xf>
    <xf numFmtId="166" fontId="13" fillId="0" borderId="2" xfId="2" applyNumberFormat="1" applyFont="1" applyBorder="1" applyAlignment="1">
      <alignment horizontal="center"/>
    </xf>
    <xf numFmtId="166" fontId="13" fillId="0" borderId="4" xfId="2" applyNumberFormat="1" applyFont="1" applyBorder="1" applyAlignment="1">
      <alignment horizontal="center"/>
    </xf>
    <xf numFmtId="44" fontId="7" fillId="7" borderId="1" xfId="0" applyNumberFormat="1" applyFont="1" applyFill="1" applyBorder="1" applyAlignment="1">
      <alignment horizontal="center"/>
    </xf>
    <xf numFmtId="165" fontId="15" fillId="0" borderId="2" xfId="3" applyFont="1" applyBorder="1" applyAlignment="1" applyProtection="1">
      <alignment horizontal="center"/>
    </xf>
    <xf numFmtId="168" fontId="12" fillId="0" borderId="2" xfId="2" applyNumberFormat="1" applyFont="1" applyBorder="1" applyAlignment="1" applyProtection="1">
      <alignment horizontal="center"/>
      <protection locked="0"/>
    </xf>
    <xf numFmtId="168" fontId="12" fillId="0" borderId="4" xfId="2" applyNumberFormat="1" applyFont="1" applyBorder="1" applyAlignment="1" applyProtection="1">
      <alignment horizontal="center"/>
      <protection locked="0"/>
    </xf>
    <xf numFmtId="0" fontId="16" fillId="12" borderId="1" xfId="0" applyFont="1" applyFill="1" applyBorder="1" applyAlignment="1">
      <alignment horizontal="center" vertical="center"/>
    </xf>
    <xf numFmtId="0" fontId="17" fillId="0" borderId="1" xfId="0" applyFont="1" applyBorder="1" applyAlignment="1">
      <alignment horizontal="center" vertical="center"/>
    </xf>
    <xf numFmtId="0" fontId="15" fillId="0" borderId="1" xfId="0" applyFont="1" applyBorder="1" applyAlignment="1">
      <alignment horizontal="center" vertical="center"/>
    </xf>
    <xf numFmtId="0" fontId="17" fillId="11" borderId="1" xfId="0" applyFont="1" applyFill="1" applyBorder="1" applyAlignment="1">
      <alignment horizontal="center" vertical="center" wrapText="1"/>
    </xf>
    <xf numFmtId="0" fontId="17" fillId="11" borderId="7" xfId="0" applyFont="1" applyFill="1" applyBorder="1" applyAlignment="1">
      <alignment horizontal="center" vertical="center" wrapText="1"/>
    </xf>
    <xf numFmtId="0" fontId="17" fillId="11" borderId="1" xfId="0" applyFont="1" applyFill="1" applyBorder="1" applyAlignment="1">
      <alignment horizontal="center" vertical="center"/>
    </xf>
  </cellXfs>
  <cellStyles count="9">
    <cellStyle name="Moeda" xfId="1" builtinId="4"/>
    <cellStyle name="Moeda 2" xfId="3" xr:uid="{8B70E7F1-8909-4CD1-8381-81DD6E926B92}"/>
    <cellStyle name="Moeda 3" xfId="6" xr:uid="{0DD2BB19-170A-4D28-8AA4-15AF515D2404}"/>
    <cellStyle name="Normal" xfId="0" builtinId="0"/>
    <cellStyle name="Normal 2" xfId="2" xr:uid="{6072DE06-92C2-4B44-AE99-4FFB5839D3EF}"/>
    <cellStyle name="Normal 3" xfId="5" xr:uid="{FC591FE3-6FF9-4447-8AFB-C77B51039840}"/>
    <cellStyle name="Porcentagem" xfId="8" builtinId="5"/>
    <cellStyle name="Porcentagem 2" xfId="4" xr:uid="{6E5C758D-49D8-428E-B18A-E5EE6FFA3E32}"/>
    <cellStyle name="Vírgula" xfId="7" builtinId="3"/>
  </cellStyles>
  <dxfs count="0"/>
  <tableStyles count="0" defaultTableStyle="TableStyleMedium2" defaultPivotStyle="PivotStyleLight16"/>
  <colors>
    <mruColors>
      <color rgb="FFFF7C80"/>
      <color rgb="FFFF5050"/>
      <color rgb="FFFF9900"/>
      <color rgb="FFD60093"/>
      <color rgb="FF3366CC"/>
      <color rgb="FF009999"/>
      <color rgb="FFFF9999"/>
      <color rgb="FFFF66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8D7352-511F-419C-BD91-134230B587EA}">
  <sheetPr>
    <tabColor rgb="FFC00000"/>
  </sheetPr>
  <dimension ref="A1:Q19"/>
  <sheetViews>
    <sheetView showGridLines="0" zoomScale="115" zoomScaleNormal="115" workbookViewId="0">
      <selection activeCell="D19" sqref="D19"/>
    </sheetView>
  </sheetViews>
  <sheetFormatPr defaultRowHeight="15" x14ac:dyDescent="0.25"/>
  <cols>
    <col min="2" max="2" width="30.85546875" customWidth="1"/>
    <col min="3" max="3" width="23.7109375" customWidth="1"/>
    <col min="4" max="4" width="16.85546875" bestFit="1" customWidth="1"/>
    <col min="5" max="5" width="16.85546875" customWidth="1"/>
    <col min="6" max="8" width="16.42578125" customWidth="1"/>
    <col min="9" max="9" width="19.140625" customWidth="1"/>
    <col min="10" max="10" width="17.7109375" bestFit="1" customWidth="1"/>
    <col min="11" max="11" width="10.5703125" bestFit="1" customWidth="1"/>
    <col min="12" max="13" width="14.28515625" bestFit="1" customWidth="1"/>
    <col min="14" max="14" width="7" bestFit="1" customWidth="1"/>
    <col min="15" max="15" width="14.28515625" customWidth="1"/>
    <col min="16" max="17" width="14.28515625" bestFit="1" customWidth="1"/>
  </cols>
  <sheetData>
    <row r="1" spans="1:17" x14ac:dyDescent="0.25">
      <c r="A1" s="1"/>
      <c r="D1" s="1"/>
    </row>
    <row r="2" spans="1:17" ht="28.5" customHeight="1" x14ac:dyDescent="0.25">
      <c r="A2" s="245" t="s">
        <v>35</v>
      </c>
      <c r="B2" s="245"/>
      <c r="C2" s="245"/>
      <c r="D2" s="245"/>
      <c r="E2" s="245"/>
      <c r="F2" s="245"/>
      <c r="G2" s="245"/>
      <c r="H2" s="245"/>
      <c r="I2" s="245"/>
      <c r="J2" s="245"/>
    </row>
    <row r="3" spans="1:17" ht="28.5" customHeight="1" x14ac:dyDescent="0.25">
      <c r="A3" s="245"/>
      <c r="B3" s="245"/>
      <c r="C3" s="245"/>
      <c r="D3" s="245"/>
      <c r="E3" s="245"/>
      <c r="F3" s="245"/>
      <c r="G3" s="245"/>
      <c r="H3" s="245"/>
      <c r="I3" s="245"/>
      <c r="J3" s="245"/>
    </row>
    <row r="4" spans="1:17" x14ac:dyDescent="0.25">
      <c r="A4" s="1"/>
      <c r="D4" s="2"/>
    </row>
    <row r="5" spans="1:17" x14ac:dyDescent="0.25">
      <c r="A5" s="254" t="s">
        <v>36</v>
      </c>
      <c r="B5" s="253" t="s">
        <v>9</v>
      </c>
      <c r="C5" s="253" t="s">
        <v>145</v>
      </c>
      <c r="D5" s="252" t="s">
        <v>47</v>
      </c>
      <c r="E5" s="246" t="s">
        <v>153</v>
      </c>
      <c r="F5" s="247"/>
      <c r="G5" s="250" t="s">
        <v>154</v>
      </c>
      <c r="H5" s="251"/>
      <c r="I5" s="248" t="s">
        <v>147</v>
      </c>
      <c r="J5" s="244" t="s">
        <v>149</v>
      </c>
    </row>
    <row r="6" spans="1:17" ht="15.75" customHeight="1" x14ac:dyDescent="0.25">
      <c r="A6" s="254"/>
      <c r="B6" s="253"/>
      <c r="C6" s="253"/>
      <c r="D6" s="252"/>
      <c r="E6" s="89" t="s">
        <v>48</v>
      </c>
      <c r="F6" s="89" t="s">
        <v>49</v>
      </c>
      <c r="G6" s="101" t="s">
        <v>48</v>
      </c>
      <c r="H6" s="101" t="s">
        <v>49</v>
      </c>
      <c r="I6" s="249"/>
      <c r="J6" s="244"/>
    </row>
    <row r="7" spans="1:17" x14ac:dyDescent="0.25">
      <c r="A7" s="3">
        <v>1</v>
      </c>
      <c r="B7" s="5" t="s">
        <v>170</v>
      </c>
      <c r="C7" s="3" t="s">
        <v>146</v>
      </c>
      <c r="D7" s="3">
        <v>3</v>
      </c>
      <c r="E7" s="47">
        <f>'VIG 44 H SRRJ'!K131</f>
        <v>6779.1743407308313</v>
      </c>
      <c r="F7" s="47">
        <f>D7*E7</f>
        <v>20337.523022192494</v>
      </c>
      <c r="G7" s="102">
        <f>'VIG 44 H SRRJ'!K140</f>
        <v>618.9086571556096</v>
      </c>
      <c r="H7" s="102">
        <f>G7*D7</f>
        <v>1856.7259714668289</v>
      </c>
      <c r="I7" s="204">
        <f>12*F7</f>
        <v>244050.27626630993</v>
      </c>
      <c r="J7" s="205">
        <f>30*F7</f>
        <v>610125.69066577486</v>
      </c>
      <c r="K7" s="95"/>
      <c r="L7" s="95"/>
      <c r="M7" s="95"/>
      <c r="N7" s="95"/>
      <c r="O7" s="95"/>
      <c r="P7" s="96"/>
      <c r="Q7" s="96"/>
    </row>
    <row r="8" spans="1:17" x14ac:dyDescent="0.25">
      <c r="A8" s="3">
        <v>2</v>
      </c>
      <c r="B8" s="5" t="s">
        <v>172</v>
      </c>
      <c r="C8" s="3" t="s">
        <v>146</v>
      </c>
      <c r="D8" s="3">
        <v>2</v>
      </c>
      <c r="E8" s="47">
        <f>'VIG 12X36 DIURNO SRRJ'!K131</f>
        <v>6388.4435695308321</v>
      </c>
      <c r="F8" s="47">
        <f>E8*D8</f>
        <v>12776.887139061664</v>
      </c>
      <c r="G8" s="102">
        <f>'VIG 12X36 DIURNO SRRJ'!K140</f>
        <v>618.9086571556096</v>
      </c>
      <c r="H8" s="102">
        <f t="shared" ref="H8:H11" si="0">G8*D8</f>
        <v>1237.8173143112192</v>
      </c>
      <c r="I8" s="204">
        <f t="shared" ref="I8:I11" si="1">12*F8</f>
        <v>153322.64566873998</v>
      </c>
      <c r="J8" s="205">
        <f t="shared" ref="J8:J11" si="2">30*F8</f>
        <v>383306.61417184991</v>
      </c>
      <c r="K8" s="96"/>
      <c r="L8" s="95"/>
      <c r="M8" s="95"/>
      <c r="N8" s="95"/>
      <c r="O8" s="95"/>
      <c r="P8" s="96"/>
      <c r="Q8" s="96"/>
    </row>
    <row r="9" spans="1:17" x14ac:dyDescent="0.25">
      <c r="A9" s="3">
        <v>3</v>
      </c>
      <c r="B9" s="5" t="s">
        <v>171</v>
      </c>
      <c r="C9" s="3" t="s">
        <v>146</v>
      </c>
      <c r="D9" s="3">
        <v>2</v>
      </c>
      <c r="E9" s="47">
        <f>'VIG 12X36 NOTURNO SRRJ'!K131</f>
        <v>7312.9864722026787</v>
      </c>
      <c r="F9" s="47">
        <f>D9*E9</f>
        <v>14625.972944405357</v>
      </c>
      <c r="G9" s="102">
        <f>'VIG 12X36 NOTURNO SRRJ'!K140</f>
        <v>728.6242827422858</v>
      </c>
      <c r="H9" s="102">
        <f t="shared" si="0"/>
        <v>1457.2485654845716</v>
      </c>
      <c r="I9" s="204">
        <f t="shared" si="1"/>
        <v>175511.67533286428</v>
      </c>
      <c r="J9" s="205">
        <f t="shared" si="2"/>
        <v>438779.1883321607</v>
      </c>
      <c r="K9" s="96"/>
      <c r="L9" s="95"/>
      <c r="M9" s="95"/>
      <c r="N9" s="95"/>
      <c r="O9" s="95"/>
      <c r="P9" s="96"/>
      <c r="Q9" s="96"/>
    </row>
    <row r="10" spans="1:17" x14ac:dyDescent="0.25">
      <c r="A10" s="3">
        <v>4</v>
      </c>
      <c r="B10" s="5" t="s">
        <v>172</v>
      </c>
      <c r="C10" s="3" t="s">
        <v>174</v>
      </c>
      <c r="D10" s="3">
        <v>4</v>
      </c>
      <c r="E10" s="47">
        <f>'VIG 12X36 DIURNO GIG'!K131</f>
        <v>6388.4435695308321</v>
      </c>
      <c r="F10" s="47">
        <f>E10*D10</f>
        <v>25553.774278123328</v>
      </c>
      <c r="G10" s="102">
        <f>'VIG 12X36 DIURNO GIG'!K140</f>
        <v>618.9086571556096</v>
      </c>
      <c r="H10" s="102">
        <f t="shared" si="0"/>
        <v>2475.6346286224384</v>
      </c>
      <c r="I10" s="204">
        <f t="shared" si="1"/>
        <v>306645.29133747995</v>
      </c>
      <c r="J10" s="205">
        <f t="shared" si="2"/>
        <v>766613.22834369983</v>
      </c>
      <c r="K10" s="96"/>
      <c r="L10" s="95"/>
      <c r="M10" s="95"/>
      <c r="N10" s="95"/>
      <c r="O10" s="95"/>
      <c r="P10" s="96"/>
      <c r="Q10" s="96"/>
    </row>
    <row r="11" spans="1:17" x14ac:dyDescent="0.25">
      <c r="A11" s="3">
        <v>5</v>
      </c>
      <c r="B11" s="5" t="s">
        <v>173</v>
      </c>
      <c r="C11" s="3" t="s">
        <v>174</v>
      </c>
      <c r="D11" s="3">
        <v>4</v>
      </c>
      <c r="E11" s="47">
        <f>'VIG 12X36 NOTURNO GIG'!K131</f>
        <v>7312.9864722026787</v>
      </c>
      <c r="F11" s="47">
        <f>D11*E11</f>
        <v>29251.945888810715</v>
      </c>
      <c r="G11" s="102">
        <f>'VIG 12X36 NOTURNO GIG'!K140</f>
        <v>728.6242827422858</v>
      </c>
      <c r="H11" s="102">
        <f t="shared" si="0"/>
        <v>2914.4971309691432</v>
      </c>
      <c r="I11" s="204">
        <f t="shared" si="1"/>
        <v>351023.35066572856</v>
      </c>
      <c r="J11" s="205">
        <f t="shared" si="2"/>
        <v>877558.3766643214</v>
      </c>
      <c r="K11" s="96"/>
      <c r="L11" s="95"/>
      <c r="M11" s="95"/>
      <c r="N11" s="95"/>
      <c r="O11" s="95"/>
      <c r="P11" s="96"/>
      <c r="Q11" s="96"/>
    </row>
    <row r="12" spans="1:17" x14ac:dyDescent="0.25">
      <c r="A12" s="257" t="s">
        <v>37</v>
      </c>
      <c r="B12" s="258"/>
      <c r="C12" s="259"/>
      <c r="D12" s="69">
        <f>SUM(D7:D11)</f>
        <v>15</v>
      </c>
      <c r="E12" s="255">
        <f>SUM(F7:F11)</f>
        <v>102546.10327259357</v>
      </c>
      <c r="F12" s="256"/>
      <c r="G12" s="242">
        <f>SUM(H7:H11)</f>
        <v>9941.9236108542009</v>
      </c>
      <c r="H12" s="243"/>
      <c r="I12" s="204">
        <f>12*E12</f>
        <v>1230553.2392711227</v>
      </c>
      <c r="J12" s="205">
        <f>30*E12</f>
        <v>3076383.0981778069</v>
      </c>
    </row>
    <row r="13" spans="1:17" x14ac:dyDescent="0.25">
      <c r="I13" s="192"/>
    </row>
    <row r="14" spans="1:17" x14ac:dyDescent="0.25">
      <c r="I14" s="191"/>
    </row>
    <row r="19" spans="5:5" x14ac:dyDescent="0.25">
      <c r="E19" s="93"/>
    </row>
  </sheetData>
  <mergeCells count="12">
    <mergeCell ref="G12:H12"/>
    <mergeCell ref="J5:J6"/>
    <mergeCell ref="A2:J3"/>
    <mergeCell ref="E5:F5"/>
    <mergeCell ref="I5:I6"/>
    <mergeCell ref="G5:H5"/>
    <mergeCell ref="D5:D6"/>
    <mergeCell ref="C5:C6"/>
    <mergeCell ref="B5:B6"/>
    <mergeCell ref="A5:A6"/>
    <mergeCell ref="E12:F12"/>
    <mergeCell ref="A12:C12"/>
  </mergeCells>
  <pageMargins left="0.511811024" right="0.511811024" top="0.78740157499999996" bottom="0.78740157499999996" header="0.31496062000000002" footer="0.31496062000000002"/>
  <pageSetup orientation="portrait" r:id="rId1"/>
  <ignoredErrors>
    <ignoredError sqref="F8:F9"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7AC45-4297-4A0E-8805-8492381C4EF9}">
  <dimension ref="A2:I65"/>
  <sheetViews>
    <sheetView topLeftCell="A52" zoomScaleNormal="100" workbookViewId="0">
      <selection activeCell="E54" sqref="E54"/>
    </sheetView>
  </sheetViews>
  <sheetFormatPr defaultRowHeight="15" x14ac:dyDescent="0.25"/>
  <cols>
    <col min="1" max="1" width="9.140625" style="4"/>
    <col min="2" max="2" width="52" style="166" customWidth="1"/>
    <col min="3" max="3" width="16.28515625" style="172" customWidth="1"/>
    <col min="4" max="4" width="65.85546875" style="4" customWidth="1"/>
    <col min="5" max="5" width="77.42578125" style="172" customWidth="1"/>
  </cols>
  <sheetData>
    <row r="2" spans="1:5" x14ac:dyDescent="0.25">
      <c r="A2" s="260" t="s">
        <v>109</v>
      </c>
      <c r="B2" s="261"/>
      <c r="C2" s="261"/>
      <c r="D2" s="261"/>
      <c r="E2" s="261"/>
    </row>
    <row r="3" spans="1:5" x14ac:dyDescent="0.25">
      <c r="A3" s="161">
        <v>1</v>
      </c>
      <c r="B3" s="262" t="s">
        <v>108</v>
      </c>
      <c r="C3" s="263"/>
      <c r="D3" s="162" t="s">
        <v>240</v>
      </c>
      <c r="E3" s="162" t="s">
        <v>241</v>
      </c>
    </row>
    <row r="4" spans="1:5" s="166" customFormat="1" ht="45.75" customHeight="1" x14ac:dyDescent="0.25">
      <c r="A4" s="163" t="s">
        <v>2</v>
      </c>
      <c r="B4" s="264" t="s">
        <v>242</v>
      </c>
      <c r="C4" s="264"/>
      <c r="D4" s="164" t="s">
        <v>243</v>
      </c>
      <c r="E4" s="165" t="s">
        <v>304</v>
      </c>
    </row>
    <row r="5" spans="1:5" s="166" customFormat="1" ht="39.75" customHeight="1" x14ac:dyDescent="0.25">
      <c r="A5" s="167" t="s">
        <v>3</v>
      </c>
      <c r="B5" s="265" t="s">
        <v>107</v>
      </c>
      <c r="C5" s="265"/>
      <c r="D5" s="164" t="s">
        <v>244</v>
      </c>
      <c r="E5" s="165" t="s">
        <v>303</v>
      </c>
    </row>
    <row r="6" spans="1:5" s="166" customFormat="1" x14ac:dyDescent="0.25">
      <c r="A6" s="167" t="s">
        <v>4</v>
      </c>
      <c r="B6" s="270" t="s">
        <v>106</v>
      </c>
      <c r="C6" s="271"/>
      <c r="D6" s="164" t="s">
        <v>286</v>
      </c>
      <c r="E6" s="209" t="s">
        <v>286</v>
      </c>
    </row>
    <row r="7" spans="1:5" s="166" customFormat="1" ht="192" customHeight="1" x14ac:dyDescent="0.25">
      <c r="A7" s="167" t="s">
        <v>5</v>
      </c>
      <c r="B7" s="265" t="s">
        <v>305</v>
      </c>
      <c r="C7" s="265"/>
      <c r="D7" s="164" t="s">
        <v>318</v>
      </c>
      <c r="E7" s="274" t="s">
        <v>315</v>
      </c>
    </row>
    <row r="8" spans="1:5" s="166" customFormat="1" ht="90" x14ac:dyDescent="0.25">
      <c r="A8" s="167" t="s">
        <v>11</v>
      </c>
      <c r="B8" s="272" t="s">
        <v>314</v>
      </c>
      <c r="C8" s="273"/>
      <c r="D8" s="164" t="s">
        <v>317</v>
      </c>
      <c r="E8" s="275"/>
    </row>
    <row r="9" spans="1:5" s="166" customFormat="1" x14ac:dyDescent="0.25">
      <c r="A9" s="170" t="s">
        <v>12</v>
      </c>
      <c r="B9" s="265" t="s">
        <v>101</v>
      </c>
      <c r="C9" s="265"/>
      <c r="D9" s="171" t="s">
        <v>286</v>
      </c>
      <c r="E9" s="165" t="s">
        <v>249</v>
      </c>
    </row>
    <row r="10" spans="1:5" s="166" customFormat="1" ht="24" x14ac:dyDescent="0.25">
      <c r="A10" s="106" t="s">
        <v>23</v>
      </c>
      <c r="B10" s="265" t="s">
        <v>302</v>
      </c>
      <c r="C10" s="265"/>
      <c r="D10" s="164" t="s">
        <v>286</v>
      </c>
      <c r="E10" s="208" t="s">
        <v>301</v>
      </c>
    </row>
    <row r="11" spans="1:5" ht="22.5" customHeight="1" x14ac:dyDescent="0.25">
      <c r="A11" s="168" t="s">
        <v>4</v>
      </c>
      <c r="B11" s="265" t="s">
        <v>106</v>
      </c>
      <c r="C11" s="265"/>
      <c r="D11" s="169" t="s">
        <v>245</v>
      </c>
      <c r="E11" s="165" t="s">
        <v>246</v>
      </c>
    </row>
    <row r="12" spans="1:5" x14ac:dyDescent="0.25">
      <c r="A12" s="106" t="s">
        <v>5</v>
      </c>
      <c r="B12" s="265" t="s">
        <v>103</v>
      </c>
      <c r="C12" s="265"/>
      <c r="D12" s="169" t="s">
        <v>247</v>
      </c>
      <c r="E12" s="165" t="s">
        <v>248</v>
      </c>
    </row>
    <row r="13" spans="1:5" x14ac:dyDescent="0.25">
      <c r="A13" s="260" t="s">
        <v>250</v>
      </c>
      <c r="B13" s="261"/>
      <c r="C13" s="261"/>
      <c r="D13" s="261"/>
      <c r="E13" s="261"/>
    </row>
    <row r="14" spans="1:5" x14ac:dyDescent="0.25">
      <c r="A14" s="161" t="s">
        <v>85</v>
      </c>
      <c r="B14" s="173" t="s">
        <v>251</v>
      </c>
      <c r="C14" s="161" t="s">
        <v>90</v>
      </c>
      <c r="D14" s="162" t="s">
        <v>240</v>
      </c>
      <c r="E14" s="162" t="s">
        <v>241</v>
      </c>
    </row>
    <row r="15" spans="1:5" ht="33" customHeight="1" x14ac:dyDescent="0.25">
      <c r="A15" s="106" t="s">
        <v>2</v>
      </c>
      <c r="B15" s="174" t="s">
        <v>97</v>
      </c>
      <c r="C15" s="175">
        <f>1/12</f>
        <v>8.3333333333333329E-2</v>
      </c>
      <c r="D15" s="176" t="s">
        <v>275</v>
      </c>
      <c r="E15" s="165" t="s">
        <v>274</v>
      </c>
    </row>
    <row r="16" spans="1:5" ht="33" customHeight="1" x14ac:dyDescent="0.25">
      <c r="A16" s="168" t="s">
        <v>3</v>
      </c>
      <c r="B16" s="177" t="s">
        <v>161</v>
      </c>
      <c r="C16" s="178">
        <v>0.121</v>
      </c>
      <c r="D16" s="176" t="s">
        <v>275</v>
      </c>
      <c r="E16" s="165" t="s">
        <v>274</v>
      </c>
    </row>
    <row r="19" spans="1:5" x14ac:dyDescent="0.25">
      <c r="A19" s="260" t="s">
        <v>96</v>
      </c>
      <c r="B19" s="261"/>
      <c r="C19" s="261"/>
      <c r="D19" s="261"/>
      <c r="E19" s="261"/>
    </row>
    <row r="20" spans="1:5" x14ac:dyDescent="0.25">
      <c r="A20" s="161" t="s">
        <v>83</v>
      </c>
      <c r="B20" s="173" t="s">
        <v>82</v>
      </c>
      <c r="C20" s="161" t="s">
        <v>90</v>
      </c>
      <c r="D20" s="162" t="s">
        <v>240</v>
      </c>
      <c r="E20" s="162" t="s">
        <v>241</v>
      </c>
    </row>
    <row r="21" spans="1:5" ht="33" customHeight="1" x14ac:dyDescent="0.25">
      <c r="A21" s="106" t="s">
        <v>2</v>
      </c>
      <c r="B21" s="174" t="s">
        <v>18</v>
      </c>
      <c r="C21" s="179">
        <v>0.2</v>
      </c>
      <c r="D21" s="176" t="s">
        <v>310</v>
      </c>
      <c r="E21" s="165" t="s">
        <v>252</v>
      </c>
    </row>
    <row r="22" spans="1:5" ht="45" customHeight="1" x14ac:dyDescent="0.25">
      <c r="A22" s="168" t="s">
        <v>3</v>
      </c>
      <c r="B22" s="177" t="s">
        <v>21</v>
      </c>
      <c r="C22" s="180">
        <v>2.5000000000000001E-2</v>
      </c>
      <c r="D22" s="176" t="s">
        <v>311</v>
      </c>
      <c r="E22" s="165" t="s">
        <v>300</v>
      </c>
    </row>
    <row r="23" spans="1:5" ht="36" x14ac:dyDescent="0.25">
      <c r="A23" s="106" t="s">
        <v>4</v>
      </c>
      <c r="B23" s="174" t="s">
        <v>126</v>
      </c>
      <c r="C23" s="179">
        <v>0.03</v>
      </c>
      <c r="D23" s="176" t="s">
        <v>312</v>
      </c>
      <c r="E23" s="165" t="s">
        <v>299</v>
      </c>
    </row>
    <row r="24" spans="1:5" ht="48" x14ac:dyDescent="0.25">
      <c r="A24" s="168" t="s">
        <v>5</v>
      </c>
      <c r="B24" s="177" t="s">
        <v>95</v>
      </c>
      <c r="C24" s="180">
        <v>1.4999999999999999E-2</v>
      </c>
      <c r="D24" s="176" t="s">
        <v>313</v>
      </c>
      <c r="E24" s="165" t="s">
        <v>298</v>
      </c>
    </row>
    <row r="25" spans="1:5" ht="36" x14ac:dyDescent="0.25">
      <c r="A25" s="106" t="s">
        <v>11</v>
      </c>
      <c r="B25" s="174" t="s">
        <v>19</v>
      </c>
      <c r="C25" s="179">
        <v>0.01</v>
      </c>
      <c r="D25" s="176" t="s">
        <v>306</v>
      </c>
      <c r="E25" s="165" t="s">
        <v>297</v>
      </c>
    </row>
    <row r="26" spans="1:5" ht="33" customHeight="1" x14ac:dyDescent="0.25">
      <c r="A26" s="168" t="s">
        <v>12</v>
      </c>
      <c r="B26" s="177" t="s">
        <v>25</v>
      </c>
      <c r="C26" s="180">
        <v>6.0000000000000001E-3</v>
      </c>
      <c r="D26" s="176" t="s">
        <v>307</v>
      </c>
      <c r="E26" s="165" t="s">
        <v>296</v>
      </c>
    </row>
    <row r="27" spans="1:5" ht="36" x14ac:dyDescent="0.25">
      <c r="A27" s="106" t="s">
        <v>23</v>
      </c>
      <c r="B27" s="174" t="s">
        <v>20</v>
      </c>
      <c r="C27" s="181">
        <v>2E-3</v>
      </c>
      <c r="D27" s="176" t="s">
        <v>308</v>
      </c>
      <c r="E27" s="165" t="s">
        <v>295</v>
      </c>
    </row>
    <row r="28" spans="1:5" ht="33" customHeight="1" x14ac:dyDescent="0.25">
      <c r="A28" s="168" t="s">
        <v>66</v>
      </c>
      <c r="B28" s="177" t="s">
        <v>22</v>
      </c>
      <c r="C28" s="180">
        <v>0.08</v>
      </c>
      <c r="D28" s="176" t="s">
        <v>309</v>
      </c>
      <c r="E28" s="165" t="s">
        <v>253</v>
      </c>
    </row>
    <row r="29" spans="1:5" x14ac:dyDescent="0.25">
      <c r="A29" s="182"/>
      <c r="B29" s="183"/>
      <c r="C29" s="184"/>
      <c r="D29" s="185"/>
      <c r="E29" s="186"/>
    </row>
    <row r="31" spans="1:5" x14ac:dyDescent="0.25">
      <c r="A31" s="260" t="s">
        <v>254</v>
      </c>
      <c r="B31" s="261"/>
      <c r="C31" s="261"/>
      <c r="D31" s="261"/>
      <c r="E31" s="261"/>
    </row>
    <row r="32" spans="1:5" x14ac:dyDescent="0.25">
      <c r="A32" s="161" t="s">
        <v>81</v>
      </c>
      <c r="B32" s="262" t="s">
        <v>80</v>
      </c>
      <c r="C32" s="263"/>
      <c r="D32" s="162" t="s">
        <v>240</v>
      </c>
      <c r="E32" s="162" t="s">
        <v>241</v>
      </c>
    </row>
    <row r="33" spans="1:9" ht="57" customHeight="1" x14ac:dyDescent="0.25">
      <c r="A33" s="156" t="s">
        <v>2</v>
      </c>
      <c r="B33" s="266" t="s">
        <v>93</v>
      </c>
      <c r="C33" s="267"/>
      <c r="D33" s="84" t="s">
        <v>255</v>
      </c>
      <c r="E33" s="165" t="s">
        <v>256</v>
      </c>
    </row>
    <row r="34" spans="1:9" ht="51.75" customHeight="1" x14ac:dyDescent="0.25">
      <c r="A34" s="156" t="s">
        <v>3</v>
      </c>
      <c r="B34" s="266" t="s">
        <v>257</v>
      </c>
      <c r="C34" s="267"/>
      <c r="D34" s="156" t="s">
        <v>270</v>
      </c>
      <c r="E34" s="165" t="s">
        <v>271</v>
      </c>
    </row>
    <row r="35" spans="1:9" ht="33" customHeight="1" x14ac:dyDescent="0.25">
      <c r="A35" s="156" t="s">
        <v>11</v>
      </c>
      <c r="B35" s="266" t="s">
        <v>272</v>
      </c>
      <c r="C35" s="267"/>
      <c r="D35" s="187">
        <v>29.66</v>
      </c>
      <c r="E35" s="165" t="s">
        <v>273</v>
      </c>
    </row>
    <row r="38" spans="1:9" x14ac:dyDescent="0.25">
      <c r="A38" s="260" t="s">
        <v>258</v>
      </c>
      <c r="B38" s="261"/>
      <c r="C38" s="261"/>
      <c r="D38" s="261"/>
      <c r="E38" s="261"/>
    </row>
    <row r="39" spans="1:9" x14ac:dyDescent="0.25">
      <c r="A39" s="161">
        <v>3</v>
      </c>
      <c r="B39" s="188" t="s">
        <v>259</v>
      </c>
      <c r="C39" s="161" t="s">
        <v>90</v>
      </c>
      <c r="D39" s="162" t="s">
        <v>240</v>
      </c>
      <c r="E39" s="162" t="s">
        <v>241</v>
      </c>
    </row>
    <row r="40" spans="1:9" ht="93.75" customHeight="1" x14ac:dyDescent="0.25">
      <c r="A40" s="156" t="s">
        <v>2</v>
      </c>
      <c r="B40" s="189" t="s">
        <v>260</v>
      </c>
      <c r="C40" s="238">
        <f>(1/12)*0.0555</f>
        <v>4.6249999999999998E-3</v>
      </c>
      <c r="D40" s="84" t="s">
        <v>326</v>
      </c>
      <c r="E40" s="165" t="s">
        <v>325</v>
      </c>
      <c r="I40" s="190"/>
    </row>
    <row r="41" spans="1:9" ht="60" x14ac:dyDescent="0.25">
      <c r="A41" s="156" t="s">
        <v>3</v>
      </c>
      <c r="B41" s="189" t="s">
        <v>26</v>
      </c>
      <c r="C41" s="178">
        <f>C40*0.08</f>
        <v>3.6999999999999999E-4</v>
      </c>
      <c r="D41" s="84" t="s">
        <v>327</v>
      </c>
      <c r="E41" s="165" t="s">
        <v>294</v>
      </c>
    </row>
    <row r="42" spans="1:9" ht="168" x14ac:dyDescent="0.25">
      <c r="A42" s="156" t="s">
        <v>4</v>
      </c>
      <c r="B42" s="189" t="s">
        <v>293</v>
      </c>
      <c r="C42" s="175">
        <v>5.4000000000000003E-3</v>
      </c>
      <c r="D42" s="84" t="s">
        <v>288</v>
      </c>
      <c r="E42" s="165" t="s">
        <v>292</v>
      </c>
    </row>
    <row r="43" spans="1:9" ht="180" x14ac:dyDescent="0.25">
      <c r="A43" s="156" t="s">
        <v>5</v>
      </c>
      <c r="B43" s="189" t="s">
        <v>261</v>
      </c>
      <c r="C43" s="178">
        <v>1.9400000000000001E-2</v>
      </c>
      <c r="D43" s="84" t="s">
        <v>291</v>
      </c>
      <c r="E43" s="165" t="s">
        <v>290</v>
      </c>
    </row>
    <row r="44" spans="1:9" ht="45" x14ac:dyDescent="0.25">
      <c r="A44" s="156" t="s">
        <v>11</v>
      </c>
      <c r="B44" s="189" t="s">
        <v>78</v>
      </c>
      <c r="C44" s="175">
        <f>36.8%*1.94%</f>
        <v>7.1392000000000001E-3</v>
      </c>
      <c r="D44" s="84" t="s">
        <v>289</v>
      </c>
      <c r="E44" s="165" t="s">
        <v>262</v>
      </c>
    </row>
    <row r="45" spans="1:9" ht="156" x14ac:dyDescent="0.25">
      <c r="A45" s="156" t="s">
        <v>12</v>
      </c>
      <c r="B45" s="189" t="s">
        <v>77</v>
      </c>
      <c r="C45" s="175">
        <v>3.4599999999999999E-2</v>
      </c>
      <c r="D45" s="84" t="s">
        <v>288</v>
      </c>
      <c r="E45" s="165" t="s">
        <v>287</v>
      </c>
    </row>
    <row r="46" spans="1:9" x14ac:dyDescent="0.25">
      <c r="A46" s="260" t="s">
        <v>76</v>
      </c>
      <c r="B46" s="261"/>
      <c r="C46" s="261"/>
      <c r="D46" s="261"/>
      <c r="E46" s="261"/>
    </row>
    <row r="47" spans="1:9" x14ac:dyDescent="0.25">
      <c r="A47" s="161" t="s">
        <v>75</v>
      </c>
      <c r="B47" s="188"/>
      <c r="C47" s="161" t="s">
        <v>90</v>
      </c>
      <c r="D47" s="162" t="s">
        <v>240</v>
      </c>
      <c r="E47" s="162" t="s">
        <v>241</v>
      </c>
    </row>
    <row r="48" spans="1:9" ht="60" x14ac:dyDescent="0.25">
      <c r="A48" s="156" t="s">
        <v>2</v>
      </c>
      <c r="B48" s="189" t="s">
        <v>339</v>
      </c>
      <c r="C48" s="178">
        <f>1/12/12</f>
        <v>6.9444444444444441E-3</v>
      </c>
      <c r="D48" s="84" t="s">
        <v>340</v>
      </c>
      <c r="E48" s="165" t="s">
        <v>285</v>
      </c>
    </row>
    <row r="49" spans="1:5" ht="84" x14ac:dyDescent="0.25">
      <c r="A49" s="156" t="s">
        <v>3</v>
      </c>
      <c r="B49" s="189" t="s">
        <v>263</v>
      </c>
      <c r="C49" s="178">
        <f>(3/360)</f>
        <v>8.3333333333333332E-3</v>
      </c>
      <c r="D49" s="84" t="s">
        <v>342</v>
      </c>
      <c r="E49" s="165" t="s">
        <v>335</v>
      </c>
    </row>
    <row r="50" spans="1:5" ht="93.75" customHeight="1" x14ac:dyDescent="0.25">
      <c r="A50" s="156" t="s">
        <v>4</v>
      </c>
      <c r="B50" s="189" t="s">
        <v>331</v>
      </c>
      <c r="C50" s="178">
        <f>(((1/12)+(1/12)+(1/12/3))*(4/12)*1.62%*50%)</f>
        <v>5.2499999999999997E-4</v>
      </c>
      <c r="D50" s="84" t="s">
        <v>334</v>
      </c>
      <c r="E50" s="165" t="s">
        <v>343</v>
      </c>
    </row>
    <row r="51" spans="1:5" ht="75" x14ac:dyDescent="0.25">
      <c r="A51" s="156" t="s">
        <v>5</v>
      </c>
      <c r="B51" s="189" t="s">
        <v>137</v>
      </c>
      <c r="C51" s="178">
        <f>(5/360)*(1.62/100)*0.5</f>
        <v>1.1250000000000001E-4</v>
      </c>
      <c r="D51" s="84" t="s">
        <v>333</v>
      </c>
      <c r="E51" s="165" t="s">
        <v>343</v>
      </c>
    </row>
    <row r="52" spans="1:5" ht="132" x14ac:dyDescent="0.25">
      <c r="A52" s="156" t="s">
        <v>11</v>
      </c>
      <c r="B52" s="189" t="s">
        <v>284</v>
      </c>
      <c r="C52" s="178">
        <f>(15/360)</f>
        <v>4.1666666666666664E-2</v>
      </c>
      <c r="D52" s="84" t="s">
        <v>328</v>
      </c>
      <c r="E52" s="165" t="s">
        <v>344</v>
      </c>
    </row>
    <row r="53" spans="1:5" ht="120" x14ac:dyDescent="0.25">
      <c r="A53" s="156" t="s">
        <v>12</v>
      </c>
      <c r="B53" s="189" t="s">
        <v>283</v>
      </c>
      <c r="C53" s="178">
        <f>(5/360)</f>
        <v>1.3888888888888888E-2</v>
      </c>
      <c r="D53" s="84" t="s">
        <v>345</v>
      </c>
      <c r="E53" s="165" t="s">
        <v>329</v>
      </c>
    </row>
    <row r="54" spans="1:5" ht="44.25" customHeight="1" x14ac:dyDescent="0.25">
      <c r="A54" s="156" t="s">
        <v>23</v>
      </c>
      <c r="B54" s="189" t="s">
        <v>332</v>
      </c>
      <c r="C54" s="178" t="s">
        <v>336</v>
      </c>
      <c r="D54" s="84" t="s">
        <v>338</v>
      </c>
      <c r="E54" s="165" t="s">
        <v>337</v>
      </c>
    </row>
    <row r="57" spans="1:5" x14ac:dyDescent="0.25">
      <c r="A57" s="260" t="s">
        <v>264</v>
      </c>
      <c r="B57" s="261"/>
      <c r="C57" s="261"/>
      <c r="D57" s="261"/>
      <c r="E57" s="261"/>
    </row>
    <row r="58" spans="1:5" x14ac:dyDescent="0.25">
      <c r="A58" s="161">
        <v>5</v>
      </c>
      <c r="B58" s="268" t="s">
        <v>13</v>
      </c>
      <c r="C58" s="269"/>
      <c r="D58" s="162" t="s">
        <v>240</v>
      </c>
      <c r="E58" s="162" t="s">
        <v>241</v>
      </c>
    </row>
    <row r="59" spans="1:5" ht="30" x14ac:dyDescent="0.25">
      <c r="A59" s="156" t="s">
        <v>2</v>
      </c>
      <c r="B59" s="266" t="s">
        <v>14</v>
      </c>
      <c r="C59" s="267"/>
      <c r="D59" s="84" t="s">
        <v>265</v>
      </c>
      <c r="E59" s="165"/>
    </row>
    <row r="60" spans="1:5" ht="30" x14ac:dyDescent="0.25">
      <c r="A60" s="156" t="s">
        <v>3</v>
      </c>
      <c r="B60" s="266" t="s">
        <v>16</v>
      </c>
      <c r="C60" s="267"/>
      <c r="D60" s="84" t="s">
        <v>266</v>
      </c>
      <c r="E60" s="165" t="s">
        <v>267</v>
      </c>
    </row>
    <row r="61" spans="1:5" ht="24" x14ac:dyDescent="0.25">
      <c r="A61" s="156" t="s">
        <v>4</v>
      </c>
      <c r="B61" s="266" t="s">
        <v>15</v>
      </c>
      <c r="C61" s="267"/>
      <c r="D61" s="84" t="s">
        <v>268</v>
      </c>
      <c r="E61" s="165" t="s">
        <v>269</v>
      </c>
    </row>
    <row r="65" spans="2:4" x14ac:dyDescent="0.25">
      <c r="B65" s="239"/>
      <c r="D65" s="240"/>
    </row>
  </sheetData>
  <mergeCells count="26">
    <mergeCell ref="A13:E13"/>
    <mergeCell ref="B6:C6"/>
    <mergeCell ref="B8:C8"/>
    <mergeCell ref="E7:E8"/>
    <mergeCell ref="B12:C12"/>
    <mergeCell ref="B7:C7"/>
    <mergeCell ref="B9:C9"/>
    <mergeCell ref="B10:C10"/>
    <mergeCell ref="B61:C61"/>
    <mergeCell ref="A19:E19"/>
    <mergeCell ref="A31:E31"/>
    <mergeCell ref="B35:C35"/>
    <mergeCell ref="A38:E38"/>
    <mergeCell ref="A46:E46"/>
    <mergeCell ref="A57:E57"/>
    <mergeCell ref="B58:C58"/>
    <mergeCell ref="B59:C59"/>
    <mergeCell ref="B60:C60"/>
    <mergeCell ref="B32:C32"/>
    <mergeCell ref="B33:C33"/>
    <mergeCell ref="B34:C34"/>
    <mergeCell ref="A2:E2"/>
    <mergeCell ref="B3:C3"/>
    <mergeCell ref="B4:C4"/>
    <mergeCell ref="B5:C5"/>
    <mergeCell ref="B11:C11"/>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804AE-44BE-4459-9C0A-E63B0C835A94}">
  <sheetPr>
    <tabColor theme="9" tint="0.59999389629810485"/>
  </sheetPr>
  <dimension ref="A1:AP140"/>
  <sheetViews>
    <sheetView showGridLines="0" topLeftCell="A82" zoomScale="120" zoomScaleNormal="120" zoomScaleSheetLayoutView="100" workbookViewId="0">
      <selection activeCell="J92" sqref="J92"/>
    </sheetView>
  </sheetViews>
  <sheetFormatPr defaultRowHeight="15" customHeight="1" x14ac:dyDescent="0.25"/>
  <cols>
    <col min="1" max="1" width="3.140625" style="8" customWidth="1"/>
    <col min="2" max="2" width="16.5703125" style="7" customWidth="1"/>
    <col min="3" max="3" width="17.85546875" style="7" customWidth="1"/>
    <col min="4" max="4" width="11.85546875" style="7" customWidth="1"/>
    <col min="5" max="5" width="12.85546875" style="7" bestFit="1" customWidth="1"/>
    <col min="6" max="6" width="12.140625" style="7" customWidth="1"/>
    <col min="7" max="7" width="14.42578125" style="7" bestFit="1" customWidth="1"/>
    <col min="8" max="9" width="14.42578125" style="7" customWidth="1"/>
    <col min="10" max="10" width="10.28515625" style="7" customWidth="1"/>
    <col min="11" max="11" width="14.140625" style="7" bestFit="1" customWidth="1"/>
    <col min="12" max="12" width="8.42578125" style="6" customWidth="1"/>
    <col min="13" max="13" width="23.7109375" style="6" customWidth="1"/>
    <col min="14" max="14" width="17.140625" style="6" customWidth="1"/>
    <col min="15" max="15" width="11.28515625" style="6" bestFit="1" customWidth="1"/>
    <col min="16" max="16" width="10.5703125" style="6" bestFit="1" customWidth="1"/>
    <col min="17" max="18" width="9.140625" style="6"/>
    <col min="19" max="19" width="10" style="6" bestFit="1" customWidth="1"/>
    <col min="20" max="16384" width="9.140625" style="6"/>
  </cols>
  <sheetData>
    <row r="1" spans="1:13" ht="15" customHeight="1" x14ac:dyDescent="0.25">
      <c r="A1" s="380" t="s">
        <v>0</v>
      </c>
      <c r="B1" s="380"/>
      <c r="C1" s="380"/>
      <c r="D1" s="380"/>
      <c r="E1" s="380"/>
      <c r="F1" s="380"/>
      <c r="G1" s="380"/>
      <c r="H1" s="380"/>
      <c r="I1" s="380"/>
      <c r="J1" s="380"/>
      <c r="K1" s="380"/>
      <c r="L1" s="11"/>
      <c r="M1" s="11"/>
    </row>
    <row r="2" spans="1:13" ht="15" customHeight="1" x14ac:dyDescent="0.25">
      <c r="A2" s="309"/>
      <c r="B2" s="309"/>
      <c r="C2" s="309"/>
      <c r="D2" s="309"/>
      <c r="E2" s="309"/>
      <c r="F2" s="309"/>
      <c r="G2" s="309"/>
      <c r="H2" s="309"/>
      <c r="I2" s="309"/>
      <c r="J2" s="309"/>
      <c r="K2" s="309"/>
      <c r="L2" s="11"/>
      <c r="M2" s="11"/>
    </row>
    <row r="3" spans="1:13" ht="15" customHeight="1" x14ac:dyDescent="0.25">
      <c r="A3" s="15"/>
      <c r="B3" s="16" t="s">
        <v>1</v>
      </c>
      <c r="C3" s="381"/>
      <c r="D3" s="381"/>
      <c r="E3" s="381"/>
      <c r="F3" s="381"/>
      <c r="G3" s="381"/>
      <c r="H3" s="381"/>
      <c r="I3" s="381"/>
      <c r="J3" s="381"/>
      <c r="K3" s="381"/>
      <c r="L3" s="11"/>
      <c r="M3" s="11"/>
    </row>
    <row r="4" spans="1:13" ht="15" customHeight="1" x14ac:dyDescent="0.25">
      <c r="A4" s="15"/>
      <c r="B4" s="17" t="s">
        <v>125</v>
      </c>
      <c r="C4" s="382"/>
      <c r="D4" s="382"/>
      <c r="E4" s="17"/>
      <c r="F4" s="17"/>
      <c r="G4" s="17"/>
      <c r="H4" s="17"/>
      <c r="I4" s="17"/>
      <c r="J4" s="17"/>
      <c r="K4" s="17"/>
      <c r="L4" s="11"/>
      <c r="M4" s="11"/>
    </row>
    <row r="5" spans="1:13" ht="15" customHeight="1" x14ac:dyDescent="0.25">
      <c r="A5" s="15"/>
      <c r="B5" s="16" t="s">
        <v>124</v>
      </c>
      <c r="C5" s="18"/>
      <c r="D5" s="17"/>
      <c r="E5" s="17"/>
      <c r="F5" s="17"/>
      <c r="G5" s="17"/>
      <c r="H5" s="17"/>
      <c r="I5" s="17"/>
      <c r="J5" s="17"/>
      <c r="K5" s="17"/>
      <c r="L5" s="11"/>
      <c r="M5" s="11"/>
    </row>
    <row r="6" spans="1:13" ht="4.5" customHeight="1" x14ac:dyDescent="0.25">
      <c r="A6" s="309"/>
      <c r="B6" s="309"/>
      <c r="C6" s="309"/>
      <c r="D6" s="309"/>
      <c r="E6" s="309"/>
      <c r="F6" s="309"/>
      <c r="G6" s="309"/>
      <c r="H6" s="309"/>
      <c r="I6" s="309"/>
      <c r="J6" s="309"/>
      <c r="K6" s="309"/>
      <c r="L6" s="11"/>
      <c r="M6" s="11"/>
    </row>
    <row r="7" spans="1:13" ht="15" customHeight="1" x14ac:dyDescent="0.25">
      <c r="A7" s="377" t="s">
        <v>123</v>
      </c>
      <c r="B7" s="377"/>
      <c r="C7" s="377"/>
      <c r="D7" s="377"/>
      <c r="E7" s="377"/>
      <c r="F7" s="377"/>
      <c r="G7" s="377"/>
      <c r="H7" s="377"/>
      <c r="I7" s="377"/>
      <c r="J7" s="377"/>
      <c r="K7" s="377"/>
      <c r="L7" s="11"/>
      <c r="M7" s="11"/>
    </row>
    <row r="8" spans="1:13" ht="15" customHeight="1" x14ac:dyDescent="0.25">
      <c r="A8" s="19" t="s">
        <v>2</v>
      </c>
      <c r="B8" s="371" t="s">
        <v>122</v>
      </c>
      <c r="C8" s="371"/>
      <c r="D8" s="371"/>
      <c r="E8" s="371"/>
      <c r="F8" s="371"/>
      <c r="G8" s="385"/>
      <c r="H8" s="385"/>
      <c r="I8" s="385"/>
      <c r="J8" s="383"/>
      <c r="K8" s="383"/>
      <c r="L8" s="11"/>
      <c r="M8" s="11"/>
    </row>
    <row r="9" spans="1:13" ht="15" customHeight="1" x14ac:dyDescent="0.25">
      <c r="A9" s="19" t="s">
        <v>3</v>
      </c>
      <c r="B9" s="371" t="s">
        <v>121</v>
      </c>
      <c r="C9" s="371"/>
      <c r="D9" s="371"/>
      <c r="E9" s="371"/>
      <c r="F9" s="371"/>
      <c r="G9" s="386" t="s">
        <v>120</v>
      </c>
      <c r="H9" s="387"/>
      <c r="I9" s="387"/>
      <c r="J9" s="387"/>
      <c r="K9" s="388"/>
      <c r="L9" s="11"/>
      <c r="M9" s="11"/>
    </row>
    <row r="10" spans="1:13" ht="15" customHeight="1" x14ac:dyDescent="0.25">
      <c r="A10" s="20" t="s">
        <v>4</v>
      </c>
      <c r="B10" s="389" t="s">
        <v>119</v>
      </c>
      <c r="C10" s="390"/>
      <c r="D10" s="390"/>
      <c r="E10" s="390"/>
      <c r="F10" s="390"/>
      <c r="G10" s="383" t="s">
        <v>165</v>
      </c>
      <c r="H10" s="383"/>
      <c r="I10" s="383"/>
      <c r="J10" s="383"/>
      <c r="K10" s="383"/>
      <c r="L10" s="11"/>
      <c r="M10" s="11"/>
    </row>
    <row r="11" spans="1:13" ht="15" customHeight="1" x14ac:dyDescent="0.25">
      <c r="A11" s="19" t="s">
        <v>5</v>
      </c>
      <c r="B11" s="21" t="s">
        <v>6</v>
      </c>
      <c r="C11" s="22"/>
      <c r="D11" s="22"/>
      <c r="E11" s="22"/>
      <c r="F11" s="22"/>
      <c r="G11" s="383">
        <v>30</v>
      </c>
      <c r="H11" s="383"/>
      <c r="I11" s="383"/>
      <c r="J11" s="383"/>
      <c r="K11" s="383"/>
      <c r="L11" s="11"/>
      <c r="M11" s="11"/>
    </row>
    <row r="12" spans="1:13" ht="15" customHeight="1" x14ac:dyDescent="0.25">
      <c r="A12" s="377" t="s">
        <v>7</v>
      </c>
      <c r="B12" s="377"/>
      <c r="C12" s="377"/>
      <c r="D12" s="377"/>
      <c r="E12" s="377"/>
      <c r="F12" s="377"/>
      <c r="G12" s="377"/>
      <c r="H12" s="377"/>
      <c r="I12" s="377"/>
      <c r="J12" s="377"/>
      <c r="K12" s="377"/>
      <c r="L12" s="11"/>
      <c r="M12" s="11"/>
    </row>
    <row r="13" spans="1:13" ht="15" customHeight="1" x14ac:dyDescent="0.25">
      <c r="A13" s="19">
        <v>1</v>
      </c>
      <c r="B13" s="371" t="s">
        <v>8</v>
      </c>
      <c r="C13" s="371"/>
      <c r="D13" s="371"/>
      <c r="E13" s="371"/>
      <c r="F13" s="371"/>
      <c r="G13" s="371"/>
      <c r="H13" s="225"/>
      <c r="I13" s="225"/>
      <c r="J13" s="383" t="s">
        <v>9</v>
      </c>
      <c r="K13" s="383"/>
      <c r="L13" s="11"/>
      <c r="M13" s="11"/>
    </row>
    <row r="14" spans="1:13" ht="15" customHeight="1" x14ac:dyDescent="0.25">
      <c r="A14" s="19">
        <v>2</v>
      </c>
      <c r="B14" s="371" t="s">
        <v>118</v>
      </c>
      <c r="C14" s="371"/>
      <c r="D14" s="371"/>
      <c r="E14" s="371"/>
      <c r="F14" s="371"/>
      <c r="G14" s="371"/>
      <c r="H14" s="225"/>
      <c r="I14" s="225"/>
      <c r="J14" s="384">
        <v>1</v>
      </c>
      <c r="K14" s="384"/>
      <c r="L14" s="11"/>
      <c r="M14" s="11"/>
    </row>
    <row r="15" spans="1:13" ht="15" customHeight="1" x14ac:dyDescent="0.25">
      <c r="A15" s="19">
        <v>3</v>
      </c>
      <c r="B15" s="21" t="s">
        <v>117</v>
      </c>
      <c r="C15" s="376" t="s">
        <v>178</v>
      </c>
      <c r="D15" s="376"/>
      <c r="E15" s="376"/>
      <c r="F15" s="376"/>
      <c r="G15" s="376"/>
      <c r="H15" s="376"/>
      <c r="I15" s="376"/>
      <c r="J15" s="376"/>
      <c r="K15" s="376"/>
      <c r="L15" s="11"/>
      <c r="M15" s="11"/>
    </row>
    <row r="16" spans="1:13" ht="15" customHeight="1" x14ac:dyDescent="0.25">
      <c r="A16" s="309"/>
      <c r="B16" s="309"/>
      <c r="C16" s="309"/>
      <c r="D16" s="309"/>
      <c r="E16" s="309"/>
      <c r="F16" s="309"/>
      <c r="G16" s="309"/>
      <c r="H16" s="309"/>
      <c r="I16" s="309"/>
      <c r="J16" s="309"/>
      <c r="K16" s="309"/>
      <c r="L16" s="11"/>
      <c r="M16" s="11"/>
    </row>
    <row r="17" spans="1:21" ht="15" customHeight="1" x14ac:dyDescent="0.25">
      <c r="A17" s="377" t="s">
        <v>116</v>
      </c>
      <c r="B17" s="377"/>
      <c r="C17" s="377"/>
      <c r="D17" s="377"/>
      <c r="E17" s="377"/>
      <c r="F17" s="377"/>
      <c r="G17" s="377"/>
      <c r="H17" s="377"/>
      <c r="I17" s="377"/>
      <c r="J17" s="377"/>
      <c r="K17" s="377"/>
      <c r="L17" s="11"/>
      <c r="M17" s="11"/>
    </row>
    <row r="18" spans="1:21" ht="15" customHeight="1" x14ac:dyDescent="0.25">
      <c r="A18" s="308" t="s">
        <v>115</v>
      </c>
      <c r="B18" s="308"/>
      <c r="C18" s="308"/>
      <c r="D18" s="308"/>
      <c r="E18" s="308"/>
      <c r="F18" s="308"/>
      <c r="G18" s="308"/>
      <c r="H18" s="308"/>
      <c r="I18" s="308"/>
      <c r="J18" s="308"/>
      <c r="K18" s="308"/>
      <c r="L18" s="11"/>
      <c r="M18" s="11"/>
    </row>
    <row r="19" spans="1:21" x14ac:dyDescent="0.25">
      <c r="A19" s="23">
        <v>1</v>
      </c>
      <c r="B19" s="352" t="s">
        <v>114</v>
      </c>
      <c r="C19" s="352"/>
      <c r="D19" s="352"/>
      <c r="E19" s="352"/>
      <c r="F19" s="352"/>
      <c r="G19" s="352"/>
      <c r="H19" s="221"/>
      <c r="I19" s="221"/>
      <c r="J19" s="374" t="s">
        <v>281</v>
      </c>
      <c r="K19" s="375"/>
      <c r="L19" s="11"/>
      <c r="M19" s="11"/>
    </row>
    <row r="20" spans="1:21" ht="15" customHeight="1" x14ac:dyDescent="0.25">
      <c r="A20" s="23">
        <v>2</v>
      </c>
      <c r="B20" s="352" t="s">
        <v>113</v>
      </c>
      <c r="C20" s="352"/>
      <c r="D20" s="352"/>
      <c r="E20" s="352"/>
      <c r="F20" s="352"/>
      <c r="G20" s="352"/>
      <c r="H20" s="221"/>
      <c r="I20" s="221"/>
      <c r="J20" s="391">
        <v>517330</v>
      </c>
      <c r="K20" s="392"/>
      <c r="L20" s="11"/>
    </row>
    <row r="21" spans="1:21" ht="15" customHeight="1" x14ac:dyDescent="0.25">
      <c r="A21" s="23">
        <v>3</v>
      </c>
      <c r="B21" s="352" t="s">
        <v>112</v>
      </c>
      <c r="C21" s="352"/>
      <c r="D21" s="352"/>
      <c r="E21" s="352"/>
      <c r="F21" s="352"/>
      <c r="G21" s="352"/>
      <c r="H21" s="221"/>
      <c r="I21" s="221"/>
      <c r="J21" s="393">
        <f>1829.2</f>
        <v>1829.2</v>
      </c>
      <c r="K21" s="394"/>
      <c r="L21" s="11"/>
      <c r="M21" s="193"/>
    </row>
    <row r="22" spans="1:21" x14ac:dyDescent="0.25">
      <c r="A22" s="23">
        <v>4</v>
      </c>
      <c r="B22" s="352" t="s">
        <v>111</v>
      </c>
      <c r="C22" s="352"/>
      <c r="D22" s="352"/>
      <c r="E22" s="352"/>
      <c r="F22" s="352"/>
      <c r="G22" s="352"/>
      <c r="H22" s="221"/>
      <c r="I22" s="221"/>
      <c r="J22" s="374"/>
      <c r="K22" s="375"/>
      <c r="L22" s="11"/>
      <c r="M22" s="11"/>
    </row>
    <row r="23" spans="1:21" ht="15" customHeight="1" x14ac:dyDescent="0.25">
      <c r="A23" s="23">
        <v>5</v>
      </c>
      <c r="B23" s="352" t="s">
        <v>110</v>
      </c>
      <c r="C23" s="352"/>
      <c r="D23" s="352"/>
      <c r="E23" s="352"/>
      <c r="F23" s="352"/>
      <c r="G23" s="352"/>
      <c r="H23" s="221"/>
      <c r="I23" s="221"/>
      <c r="J23" s="367">
        <v>45292</v>
      </c>
      <c r="K23" s="368"/>
      <c r="L23" s="11"/>
      <c r="M23" s="11"/>
    </row>
    <row r="24" spans="1:21" ht="15" customHeight="1" x14ac:dyDescent="0.25">
      <c r="A24" s="286" t="s">
        <v>109</v>
      </c>
      <c r="B24" s="287"/>
      <c r="C24" s="287"/>
      <c r="D24" s="287"/>
      <c r="E24" s="287"/>
      <c r="F24" s="287"/>
      <c r="G24" s="287"/>
      <c r="H24" s="287"/>
      <c r="I24" s="287"/>
      <c r="J24" s="287"/>
      <c r="K24" s="288"/>
      <c r="L24" s="11"/>
      <c r="M24" s="11"/>
    </row>
    <row r="25" spans="1:21" ht="15" customHeight="1" x14ac:dyDescent="0.25">
      <c r="A25" s="40">
        <v>1</v>
      </c>
      <c r="B25" s="307" t="s">
        <v>108</v>
      </c>
      <c r="C25" s="307"/>
      <c r="D25" s="307"/>
      <c r="E25" s="307"/>
      <c r="F25" s="307"/>
      <c r="G25" s="307"/>
      <c r="H25" s="218"/>
      <c r="I25" s="218"/>
      <c r="J25" s="369" t="s">
        <v>10</v>
      </c>
      <c r="K25" s="370"/>
      <c r="L25" s="11"/>
      <c r="M25" s="11"/>
    </row>
    <row r="26" spans="1:21" ht="15" customHeight="1" x14ac:dyDescent="0.25">
      <c r="A26" s="23" t="s">
        <v>2</v>
      </c>
      <c r="B26" s="371" t="s">
        <v>164</v>
      </c>
      <c r="C26" s="371"/>
      <c r="D26" s="371"/>
      <c r="E26" s="371"/>
      <c r="F26" s="371"/>
      <c r="G26" s="371"/>
      <c r="H26" s="226"/>
      <c r="I26" s="226"/>
      <c r="J26" s="372">
        <f>J21</f>
        <v>1829.2</v>
      </c>
      <c r="K26" s="373"/>
      <c r="L26" s="11"/>
      <c r="M26" s="11"/>
    </row>
    <row r="27" spans="1:21" ht="15" customHeight="1" x14ac:dyDescent="0.25">
      <c r="A27" s="24" t="s">
        <v>3</v>
      </c>
      <c r="B27" s="25" t="s">
        <v>107</v>
      </c>
      <c r="C27" s="26"/>
      <c r="D27" s="27" t="s">
        <v>105</v>
      </c>
      <c r="E27" s="27" t="s">
        <v>87</v>
      </c>
      <c r="F27" s="26"/>
      <c r="G27" s="28"/>
      <c r="H27" s="26"/>
      <c r="I27" s="26"/>
      <c r="J27" s="372">
        <f>IF(E27="N",0,J26*0.3)</f>
        <v>548.76</v>
      </c>
      <c r="K27" s="373"/>
      <c r="L27" s="11"/>
      <c r="M27" s="11"/>
    </row>
    <row r="28" spans="1:21" ht="15" customHeight="1" x14ac:dyDescent="0.25">
      <c r="A28" s="24" t="s">
        <v>4</v>
      </c>
      <c r="B28" s="25" t="s">
        <v>106</v>
      </c>
      <c r="C28" s="26"/>
      <c r="D28" s="27" t="s">
        <v>105</v>
      </c>
      <c r="E28" s="27" t="s">
        <v>104</v>
      </c>
      <c r="F28" s="378"/>
      <c r="G28" s="379"/>
      <c r="H28" s="227"/>
      <c r="I28" s="227"/>
      <c r="J28" s="358">
        <v>0</v>
      </c>
      <c r="K28" s="359"/>
      <c r="L28" s="11"/>
      <c r="M28" s="11"/>
      <c r="P28" s="54"/>
    </row>
    <row r="29" spans="1:21" ht="15" customHeight="1" x14ac:dyDescent="0.25">
      <c r="A29" s="23" t="s">
        <v>5</v>
      </c>
      <c r="B29" s="361" t="s">
        <v>305</v>
      </c>
      <c r="C29" s="362"/>
      <c r="D29" s="362"/>
      <c r="E29" s="362"/>
      <c r="F29" s="362"/>
      <c r="G29" s="363"/>
      <c r="H29" s="195"/>
      <c r="I29" s="195"/>
      <c r="J29" s="358">
        <v>0</v>
      </c>
      <c r="K29" s="359"/>
      <c r="L29" s="11"/>
      <c r="M29" s="11"/>
    </row>
    <row r="30" spans="1:21" ht="15" customHeight="1" x14ac:dyDescent="0.25">
      <c r="A30" s="23" t="s">
        <v>11</v>
      </c>
      <c r="B30" s="194" t="s">
        <v>316</v>
      </c>
      <c r="C30" s="195"/>
      <c r="D30" s="195"/>
      <c r="E30" s="195"/>
      <c r="F30" s="195"/>
      <c r="G30" s="196"/>
      <c r="H30" s="195"/>
      <c r="I30" s="195"/>
      <c r="J30" s="358">
        <v>0</v>
      </c>
      <c r="K30" s="359"/>
      <c r="L30" s="11"/>
      <c r="M30" s="11"/>
    </row>
    <row r="31" spans="1:21" ht="15" customHeight="1" x14ac:dyDescent="0.25">
      <c r="A31" s="19" t="s">
        <v>12</v>
      </c>
      <c r="B31" s="366" t="s">
        <v>101</v>
      </c>
      <c r="C31" s="366"/>
      <c r="D31" s="366"/>
      <c r="E31" s="366"/>
      <c r="F31" s="366"/>
      <c r="G31" s="366"/>
      <c r="H31" s="194"/>
      <c r="I31" s="194"/>
      <c r="J31" s="358">
        <v>0</v>
      </c>
      <c r="K31" s="359"/>
      <c r="L31" s="11"/>
      <c r="M31" s="11"/>
    </row>
    <row r="32" spans="1:21" ht="15" customHeight="1" x14ac:dyDescent="0.25">
      <c r="A32" s="107" t="s">
        <v>23</v>
      </c>
      <c r="B32" s="355" t="s">
        <v>175</v>
      </c>
      <c r="C32" s="356"/>
      <c r="D32" s="356"/>
      <c r="E32" s="356"/>
      <c r="F32" s="356"/>
      <c r="G32" s="357"/>
      <c r="H32" s="224"/>
      <c r="I32" s="224"/>
      <c r="J32" s="358">
        <v>0</v>
      </c>
      <c r="K32" s="359"/>
      <c r="M32" s="360"/>
      <c r="N32" s="360"/>
      <c r="O32" s="360"/>
      <c r="P32" s="360"/>
      <c r="Q32" s="360"/>
      <c r="R32" s="360"/>
      <c r="S32" s="360"/>
      <c r="T32" s="360"/>
      <c r="U32" s="360"/>
    </row>
    <row r="33" spans="1:19" ht="15" customHeight="1" x14ac:dyDescent="0.25">
      <c r="A33" s="19" t="s">
        <v>24</v>
      </c>
      <c r="B33" s="361" t="s">
        <v>330</v>
      </c>
      <c r="C33" s="362"/>
      <c r="D33" s="362"/>
      <c r="E33" s="362"/>
      <c r="F33" s="362"/>
      <c r="G33" s="363"/>
      <c r="H33" s="195"/>
      <c r="I33" s="195"/>
      <c r="J33" s="364"/>
      <c r="K33" s="365"/>
      <c r="L33" s="11"/>
      <c r="M33" s="320"/>
      <c r="N33" s="320"/>
      <c r="O33" s="320"/>
      <c r="P33" s="320"/>
      <c r="Q33" s="320"/>
    </row>
    <row r="34" spans="1:19" ht="15" customHeight="1" x14ac:dyDescent="0.25">
      <c r="A34" s="308" t="s">
        <v>99</v>
      </c>
      <c r="B34" s="308"/>
      <c r="C34" s="308"/>
      <c r="D34" s="308"/>
      <c r="E34" s="308"/>
      <c r="F34" s="308"/>
      <c r="G34" s="308"/>
      <c r="H34" s="217"/>
      <c r="I34" s="217"/>
      <c r="J34" s="353">
        <f>SUM(J26:K33)</f>
        <v>2377.96</v>
      </c>
      <c r="K34" s="354"/>
      <c r="L34" s="11"/>
      <c r="M34" s="11"/>
    </row>
    <row r="35" spans="1:19" ht="15" customHeight="1" x14ac:dyDescent="0.25">
      <c r="A35" s="286" t="s">
        <v>98</v>
      </c>
      <c r="B35" s="287"/>
      <c r="C35" s="287"/>
      <c r="D35" s="287"/>
      <c r="E35" s="287"/>
      <c r="F35" s="287"/>
      <c r="G35" s="287"/>
      <c r="H35" s="287"/>
      <c r="I35" s="287"/>
      <c r="J35" s="287"/>
      <c r="K35" s="288"/>
      <c r="L35" s="11"/>
      <c r="M35" s="11"/>
      <c r="S35" s="52"/>
    </row>
    <row r="36" spans="1:19" ht="15" customHeight="1" x14ac:dyDescent="0.25">
      <c r="A36" s="307" t="s">
        <v>162</v>
      </c>
      <c r="B36" s="307"/>
      <c r="C36" s="307"/>
      <c r="D36" s="307"/>
      <c r="E36" s="307"/>
      <c r="F36" s="307"/>
      <c r="G36" s="307"/>
      <c r="H36" s="307"/>
      <c r="I36" s="307"/>
      <c r="J36" s="307"/>
      <c r="K36" s="307"/>
      <c r="L36" s="11"/>
      <c r="M36" s="11"/>
      <c r="N36" s="58"/>
    </row>
    <row r="37" spans="1:19" ht="15" customHeight="1" x14ac:dyDescent="0.25">
      <c r="A37" s="40" t="s">
        <v>85</v>
      </c>
      <c r="B37" s="321" t="s">
        <v>163</v>
      </c>
      <c r="C37" s="322"/>
      <c r="D37" s="322"/>
      <c r="E37" s="322"/>
      <c r="F37" s="322"/>
      <c r="G37" s="323"/>
      <c r="H37" s="219"/>
      <c r="I37" s="219"/>
      <c r="J37" s="40" t="s">
        <v>64</v>
      </c>
      <c r="K37" s="43" t="s">
        <v>10</v>
      </c>
      <c r="L37" s="11"/>
      <c r="M37" s="11"/>
      <c r="P37" s="56"/>
    </row>
    <row r="38" spans="1:19" ht="15" customHeight="1" x14ac:dyDescent="0.25">
      <c r="A38" s="23" t="s">
        <v>2</v>
      </c>
      <c r="B38" s="324" t="s">
        <v>97</v>
      </c>
      <c r="C38" s="325"/>
      <c r="D38" s="325"/>
      <c r="E38" s="325"/>
      <c r="F38" s="325"/>
      <c r="G38" s="326"/>
      <c r="H38" s="222"/>
      <c r="I38" s="222"/>
      <c r="J38" s="61">
        <v>8.3299999999999999E-2</v>
      </c>
      <c r="K38" s="30">
        <f>(J26+J27+J29)*J38</f>
        <v>198.084068</v>
      </c>
      <c r="L38" s="11"/>
      <c r="M38" s="12"/>
      <c r="N38" s="57"/>
      <c r="O38" s="57"/>
      <c r="P38" s="56"/>
      <c r="Q38" s="9"/>
    </row>
    <row r="39" spans="1:19" ht="15" customHeight="1" x14ac:dyDescent="0.25">
      <c r="A39" s="23" t="s">
        <v>3</v>
      </c>
      <c r="B39" s="324" t="s">
        <v>161</v>
      </c>
      <c r="C39" s="325"/>
      <c r="D39" s="325"/>
      <c r="E39" s="325"/>
      <c r="F39" s="325"/>
      <c r="G39" s="326"/>
      <c r="H39" s="222"/>
      <c r="I39" s="222"/>
      <c r="J39" s="61">
        <v>0.121</v>
      </c>
      <c r="K39" s="30">
        <f>(J26+J27+J29)*J39</f>
        <v>287.73316</v>
      </c>
      <c r="L39" s="11"/>
      <c r="M39" s="12"/>
      <c r="N39" s="57"/>
      <c r="O39" s="57"/>
      <c r="P39" s="56"/>
      <c r="Q39" s="9"/>
    </row>
    <row r="40" spans="1:19" ht="15" customHeight="1" x14ac:dyDescent="0.25">
      <c r="A40" s="60" t="s">
        <v>68</v>
      </c>
      <c r="B40" s="59"/>
      <c r="C40" s="59"/>
      <c r="D40" s="59"/>
      <c r="E40" s="59"/>
      <c r="F40" s="59"/>
      <c r="G40" s="59"/>
      <c r="H40" s="59"/>
      <c r="I40" s="59"/>
      <c r="J40" s="66">
        <f>SUM(J38:J39)</f>
        <v>0.20429999999999998</v>
      </c>
      <c r="K40" s="65">
        <f>SUM(K38:K39)</f>
        <v>485.817228</v>
      </c>
      <c r="L40" s="11"/>
      <c r="M40" s="11"/>
      <c r="N40" s="52"/>
      <c r="P40" s="52"/>
    </row>
    <row r="41" spans="1:19" ht="15" customHeight="1" x14ac:dyDescent="0.25">
      <c r="A41" s="307" t="s">
        <v>96</v>
      </c>
      <c r="B41" s="307"/>
      <c r="C41" s="307"/>
      <c r="D41" s="307"/>
      <c r="E41" s="307"/>
      <c r="F41" s="307"/>
      <c r="G41" s="307"/>
      <c r="H41" s="307"/>
      <c r="I41" s="307"/>
      <c r="J41" s="307"/>
      <c r="K41" s="307"/>
      <c r="L41" s="11"/>
      <c r="M41" s="11"/>
    </row>
    <row r="42" spans="1:19" ht="15" customHeight="1" x14ac:dyDescent="0.25">
      <c r="A42" s="40" t="s">
        <v>83</v>
      </c>
      <c r="B42" s="307" t="s">
        <v>82</v>
      </c>
      <c r="C42" s="307"/>
      <c r="D42" s="307"/>
      <c r="E42" s="307"/>
      <c r="F42" s="307"/>
      <c r="G42" s="307"/>
      <c r="H42" s="215"/>
      <c r="I42" s="215"/>
      <c r="J42" s="40" t="s">
        <v>64</v>
      </c>
      <c r="K42" s="43" t="s">
        <v>10</v>
      </c>
      <c r="L42" s="11"/>
      <c r="M42" s="11"/>
      <c r="P42" s="52"/>
    </row>
    <row r="43" spans="1:19" ht="15" customHeight="1" x14ac:dyDescent="0.25">
      <c r="A43" s="23" t="s">
        <v>2</v>
      </c>
      <c r="B43" s="352" t="s">
        <v>18</v>
      </c>
      <c r="C43" s="352"/>
      <c r="D43" s="352"/>
      <c r="E43" s="352"/>
      <c r="F43" s="352"/>
      <c r="G43" s="352"/>
      <c r="H43" s="223"/>
      <c r="I43" s="223"/>
      <c r="J43" s="31">
        <v>0.2</v>
      </c>
      <c r="K43" s="32">
        <f>((J26+J27+J29)+$K$40)*J43</f>
        <v>572.75544560000003</v>
      </c>
      <c r="L43" s="11"/>
      <c r="M43" s="11"/>
      <c r="R43" s="54"/>
    </row>
    <row r="44" spans="1:19" ht="15" customHeight="1" x14ac:dyDescent="0.25">
      <c r="A44" s="23" t="s">
        <v>3</v>
      </c>
      <c r="B44" s="352" t="s">
        <v>21</v>
      </c>
      <c r="C44" s="352"/>
      <c r="D44" s="352"/>
      <c r="E44" s="352"/>
      <c r="F44" s="352"/>
      <c r="G44" s="352"/>
      <c r="H44" s="223"/>
      <c r="I44" s="223"/>
      <c r="J44" s="31">
        <v>2.5000000000000001E-2</v>
      </c>
      <c r="K44" s="32">
        <f>((J26+J27+J29)+$K$40)*J44</f>
        <v>71.594430700000004</v>
      </c>
      <c r="L44" s="11"/>
      <c r="M44" s="232"/>
      <c r="Q44" s="52"/>
    </row>
    <row r="45" spans="1:19" ht="15" customHeight="1" x14ac:dyDescent="0.25">
      <c r="A45" s="33" t="s">
        <v>4</v>
      </c>
      <c r="B45" s="352" t="s">
        <v>126</v>
      </c>
      <c r="C45" s="352"/>
      <c r="D45" s="352"/>
      <c r="E45" s="352"/>
      <c r="F45" s="352"/>
      <c r="G45" s="352"/>
      <c r="H45" s="222"/>
      <c r="I45" s="222"/>
      <c r="J45" s="49">
        <v>0.03</v>
      </c>
      <c r="K45" s="32">
        <f>((J26+J27+J29)+$K$40)*J45</f>
        <v>85.913316839999993</v>
      </c>
      <c r="L45" s="11"/>
      <c r="M45" s="11"/>
      <c r="N45" s="203"/>
    </row>
    <row r="46" spans="1:19" ht="15" customHeight="1" x14ac:dyDescent="0.25">
      <c r="A46" s="33" t="s">
        <v>5</v>
      </c>
      <c r="B46" s="352" t="s">
        <v>95</v>
      </c>
      <c r="C46" s="352"/>
      <c r="D46" s="352"/>
      <c r="E46" s="352"/>
      <c r="F46" s="352"/>
      <c r="G46" s="352"/>
      <c r="H46" s="223"/>
      <c r="I46" s="223"/>
      <c r="J46" s="31">
        <v>1.4999999999999999E-2</v>
      </c>
      <c r="K46" s="32">
        <f>((J26+J27+J29)+$K$40)*J46</f>
        <v>42.956658419999997</v>
      </c>
      <c r="L46" s="11"/>
      <c r="M46" s="11"/>
      <c r="N46" s="202"/>
    </row>
    <row r="47" spans="1:19" ht="15" customHeight="1" x14ac:dyDescent="0.25">
      <c r="A47" s="23" t="s">
        <v>11</v>
      </c>
      <c r="B47" s="352" t="s">
        <v>19</v>
      </c>
      <c r="C47" s="352"/>
      <c r="D47" s="352"/>
      <c r="E47" s="352"/>
      <c r="F47" s="352"/>
      <c r="G47" s="352"/>
      <c r="H47" s="228"/>
      <c r="I47" s="223"/>
      <c r="J47" s="50">
        <v>0.01</v>
      </c>
      <c r="K47" s="32">
        <f>((J26+J27+J29)+$K$40)*J47</f>
        <v>28.63777228</v>
      </c>
      <c r="L47" s="11"/>
      <c r="M47" s="11"/>
    </row>
    <row r="48" spans="1:19" ht="15" customHeight="1" x14ac:dyDescent="0.25">
      <c r="A48" s="23" t="s">
        <v>12</v>
      </c>
      <c r="B48" s="352" t="s">
        <v>25</v>
      </c>
      <c r="C48" s="352"/>
      <c r="D48" s="352"/>
      <c r="E48" s="352"/>
      <c r="F48" s="352"/>
      <c r="G48" s="352"/>
      <c r="H48" s="223"/>
      <c r="I48" s="223"/>
      <c r="J48" s="31">
        <v>6.0000000000000001E-3</v>
      </c>
      <c r="K48" s="32">
        <f>((J26+J27+J29)+$K$40)*J48</f>
        <v>17.182663368</v>
      </c>
      <c r="L48" s="11"/>
      <c r="M48" s="11"/>
    </row>
    <row r="49" spans="1:17" ht="15" customHeight="1" x14ac:dyDescent="0.25">
      <c r="A49" s="23" t="s">
        <v>23</v>
      </c>
      <c r="B49" s="352" t="s">
        <v>20</v>
      </c>
      <c r="C49" s="352"/>
      <c r="D49" s="352"/>
      <c r="E49" s="352"/>
      <c r="F49" s="352"/>
      <c r="G49" s="352"/>
      <c r="H49" s="223"/>
      <c r="I49" s="223"/>
      <c r="J49" s="31">
        <v>2E-3</v>
      </c>
      <c r="K49" s="32">
        <f>((J26+J27+J29)+$K$40)*J49</f>
        <v>5.727554456</v>
      </c>
      <c r="L49" s="11"/>
      <c r="M49" s="11"/>
    </row>
    <row r="50" spans="1:17" ht="15" customHeight="1" x14ac:dyDescent="0.25">
      <c r="A50" s="23" t="s">
        <v>24</v>
      </c>
      <c r="B50" s="352" t="s">
        <v>22</v>
      </c>
      <c r="C50" s="352"/>
      <c r="D50" s="352"/>
      <c r="E50" s="352"/>
      <c r="F50" s="352"/>
      <c r="G50" s="352"/>
      <c r="H50" s="223"/>
      <c r="I50" s="223"/>
      <c r="J50" s="234">
        <v>0.08</v>
      </c>
      <c r="K50" s="32">
        <f>((J26+J27+J29)+$K$40)*J50</f>
        <v>229.10217824</v>
      </c>
      <c r="L50" s="11"/>
      <c r="M50" s="11"/>
    </row>
    <row r="51" spans="1:17" ht="15" customHeight="1" x14ac:dyDescent="0.25">
      <c r="A51" s="308" t="s">
        <v>37</v>
      </c>
      <c r="B51" s="308"/>
      <c r="C51" s="308"/>
      <c r="D51" s="308"/>
      <c r="E51" s="308"/>
      <c r="F51" s="308"/>
      <c r="G51" s="308"/>
      <c r="H51" s="40"/>
      <c r="I51" s="40"/>
      <c r="J51" s="45">
        <f>SUM(J43:J50)</f>
        <v>0.36800000000000005</v>
      </c>
      <c r="K51" s="44">
        <f>SUM(K43:K50)</f>
        <v>1053.8700199040002</v>
      </c>
      <c r="L51" s="11"/>
      <c r="M51" s="11"/>
    </row>
    <row r="52" spans="1:17" ht="15" customHeight="1" x14ac:dyDescent="0.25">
      <c r="A52" s="317" t="s">
        <v>94</v>
      </c>
      <c r="B52" s="318"/>
      <c r="C52" s="318"/>
      <c r="D52" s="318"/>
      <c r="E52" s="318"/>
      <c r="F52" s="318"/>
      <c r="G52" s="318"/>
      <c r="H52" s="318"/>
      <c r="I52" s="318"/>
      <c r="J52" s="318"/>
      <c r="K52" s="319"/>
      <c r="L52" s="11"/>
    </row>
    <row r="53" spans="1:17" ht="15" customHeight="1" x14ac:dyDescent="0.25">
      <c r="A53" s="40" t="s">
        <v>81</v>
      </c>
      <c r="B53" s="307" t="s">
        <v>80</v>
      </c>
      <c r="C53" s="307"/>
      <c r="D53" s="307"/>
      <c r="E53" s="307"/>
      <c r="F53" s="307"/>
      <c r="G53" s="307"/>
      <c r="H53" s="215"/>
      <c r="I53" s="215"/>
      <c r="J53" s="308" t="s">
        <v>10</v>
      </c>
      <c r="K53" s="308"/>
      <c r="L53" s="11"/>
      <c r="M53" s="347" t="s">
        <v>177</v>
      </c>
      <c r="N53" s="347"/>
    </row>
    <row r="54" spans="1:17" ht="15" customHeight="1" x14ac:dyDescent="0.25">
      <c r="A54" s="336" t="s">
        <v>2</v>
      </c>
      <c r="B54" s="336" t="s">
        <v>93</v>
      </c>
      <c r="C54" s="23" t="s">
        <v>91</v>
      </c>
      <c r="D54" s="23" t="s">
        <v>176</v>
      </c>
      <c r="E54" s="23" t="s">
        <v>92</v>
      </c>
      <c r="F54" s="23" t="s">
        <v>89</v>
      </c>
      <c r="G54" s="23" t="s">
        <v>88</v>
      </c>
      <c r="H54" s="229"/>
      <c r="I54" s="229"/>
      <c r="J54" s="348">
        <f>D55*E55*F55</f>
        <v>376.20000000000005</v>
      </c>
      <c r="K54" s="349"/>
      <c r="L54" s="11"/>
      <c r="M54" s="346" t="s">
        <v>157</v>
      </c>
      <c r="N54" s="346"/>
    </row>
    <row r="55" spans="1:17" ht="15" customHeight="1" x14ac:dyDescent="0.25">
      <c r="A55" s="337"/>
      <c r="B55" s="337"/>
      <c r="C55" s="23" t="s">
        <v>87</v>
      </c>
      <c r="D55" s="29">
        <v>8.5500000000000007</v>
      </c>
      <c r="E55" s="23">
        <v>2</v>
      </c>
      <c r="F55" s="23">
        <v>22</v>
      </c>
      <c r="G55" s="29">
        <f>J26*0.06</f>
        <v>109.752</v>
      </c>
      <c r="H55" s="230"/>
      <c r="I55" s="230"/>
      <c r="J55" s="350">
        <f>D55*E55*F55-G55</f>
        <v>266.44800000000004</v>
      </c>
      <c r="K55" s="351"/>
      <c r="L55" s="11"/>
      <c r="M55" s="346" t="s">
        <v>158</v>
      </c>
      <c r="N55" s="346"/>
    </row>
    <row r="56" spans="1:17" ht="15" customHeight="1" x14ac:dyDescent="0.25">
      <c r="A56" s="336" t="s">
        <v>3</v>
      </c>
      <c r="B56" s="338" t="s">
        <v>156</v>
      </c>
      <c r="C56" s="339"/>
      <c r="D56" s="23" t="s">
        <v>91</v>
      </c>
      <c r="E56" s="23" t="s">
        <v>90</v>
      </c>
      <c r="F56" s="23" t="s">
        <v>89</v>
      </c>
      <c r="G56" s="23" t="s">
        <v>88</v>
      </c>
      <c r="H56" s="229"/>
      <c r="I56" s="229"/>
      <c r="J56" s="342">
        <f>IF(D57="N",0,(E57*F57)-G57)</f>
        <v>635.00800000000004</v>
      </c>
      <c r="K56" s="343"/>
      <c r="L56" s="11"/>
      <c r="M56" s="346" t="s">
        <v>159</v>
      </c>
      <c r="N56" s="346"/>
      <c r="Q56" s="52"/>
    </row>
    <row r="57" spans="1:17" ht="15" customHeight="1" x14ac:dyDescent="0.25">
      <c r="A57" s="337"/>
      <c r="B57" s="340"/>
      <c r="C57" s="341"/>
      <c r="D57" s="23" t="s">
        <v>87</v>
      </c>
      <c r="E57" s="29">
        <v>36.08</v>
      </c>
      <c r="F57" s="23">
        <v>22</v>
      </c>
      <c r="G57" s="29">
        <f>E57*F57*0.2</f>
        <v>158.75200000000001</v>
      </c>
      <c r="H57" s="230"/>
      <c r="I57" s="230"/>
      <c r="J57" s="344"/>
      <c r="K57" s="345"/>
      <c r="L57" s="11"/>
      <c r="M57" s="346" t="s">
        <v>160</v>
      </c>
      <c r="N57" s="346"/>
      <c r="Q57" s="52"/>
    </row>
    <row r="58" spans="1:17" ht="15" customHeight="1" x14ac:dyDescent="0.25">
      <c r="A58" s="51" t="s">
        <v>4</v>
      </c>
      <c r="B58" s="331" t="s">
        <v>155</v>
      </c>
      <c r="C58" s="333"/>
      <c r="D58" s="23" t="s">
        <v>87</v>
      </c>
      <c r="E58" s="29">
        <v>16.73</v>
      </c>
      <c r="F58" s="23">
        <v>1</v>
      </c>
      <c r="G58" s="29">
        <f>E58*F58*0.2</f>
        <v>3.3460000000000001</v>
      </c>
      <c r="H58" s="231"/>
      <c r="I58" s="231"/>
      <c r="J58" s="334">
        <f>IF(D58="N",0,(E58*F58)-G58)</f>
        <v>13.384</v>
      </c>
      <c r="K58" s="335"/>
      <c r="L58" s="11"/>
      <c r="M58" s="11"/>
      <c r="Q58" s="52"/>
    </row>
    <row r="59" spans="1:17" ht="15" customHeight="1" x14ac:dyDescent="0.25">
      <c r="A59" s="51" t="s">
        <v>5</v>
      </c>
      <c r="B59" s="331" t="s">
        <v>144</v>
      </c>
      <c r="C59" s="332"/>
      <c r="D59" s="332"/>
      <c r="E59" s="332"/>
      <c r="F59" s="332"/>
      <c r="G59" s="333"/>
      <c r="H59" s="91"/>
      <c r="I59" s="91"/>
      <c r="J59" s="334"/>
      <c r="K59" s="335"/>
      <c r="L59" s="11"/>
      <c r="M59" s="11"/>
      <c r="Q59" s="52"/>
    </row>
    <row r="60" spans="1:17" ht="15" customHeight="1" x14ac:dyDescent="0.25">
      <c r="A60" s="51" t="s">
        <v>11</v>
      </c>
      <c r="B60" s="331" t="s">
        <v>166</v>
      </c>
      <c r="C60" s="332"/>
      <c r="D60" s="332"/>
      <c r="E60" s="332"/>
      <c r="F60" s="332"/>
      <c r="G60" s="333"/>
      <c r="H60" s="91"/>
      <c r="I60" s="91"/>
      <c r="J60" s="334"/>
      <c r="K60" s="335"/>
      <c r="L60" s="11"/>
      <c r="M60" s="11"/>
      <c r="Q60" s="52"/>
    </row>
    <row r="61" spans="1:17" ht="15" customHeight="1" x14ac:dyDescent="0.25">
      <c r="A61" s="51" t="s">
        <v>12</v>
      </c>
      <c r="B61" s="90" t="s">
        <v>167</v>
      </c>
      <c r="C61" s="91"/>
      <c r="D61" s="91"/>
      <c r="E61" s="91"/>
      <c r="F61" s="91"/>
      <c r="G61" s="92"/>
      <c r="H61" s="91"/>
      <c r="I61" s="91"/>
      <c r="J61" s="103"/>
      <c r="K61" s="104"/>
      <c r="L61" s="11"/>
      <c r="M61" s="11"/>
      <c r="Q61" s="52"/>
    </row>
    <row r="62" spans="1:17" ht="15" customHeight="1" x14ac:dyDescent="0.25">
      <c r="A62" s="51" t="s">
        <v>23</v>
      </c>
      <c r="B62" s="90" t="s">
        <v>168</v>
      </c>
      <c r="C62" s="91"/>
      <c r="D62" s="91"/>
      <c r="E62" s="91"/>
      <c r="F62" s="91"/>
      <c r="G62" s="92"/>
      <c r="H62" s="91"/>
      <c r="I62" s="91"/>
      <c r="J62" s="334">
        <v>29.66</v>
      </c>
      <c r="K62" s="335"/>
      <c r="L62" s="11"/>
      <c r="M62" s="11"/>
      <c r="Q62" s="52"/>
    </row>
    <row r="63" spans="1:17" ht="15" customHeight="1" x14ac:dyDescent="0.25">
      <c r="A63" s="308" t="s">
        <v>68</v>
      </c>
      <c r="B63" s="308"/>
      <c r="C63" s="308"/>
      <c r="D63" s="308"/>
      <c r="E63" s="308"/>
      <c r="F63" s="308"/>
      <c r="G63" s="308"/>
      <c r="H63" s="40"/>
      <c r="I63" s="40"/>
      <c r="J63" s="328">
        <f>SUM(J55:K62)</f>
        <v>944.50000000000011</v>
      </c>
      <c r="K63" s="328"/>
      <c r="L63" s="11"/>
      <c r="M63" s="11"/>
    </row>
    <row r="64" spans="1:17" ht="15" customHeight="1" x14ac:dyDescent="0.25">
      <c r="A64" s="309"/>
      <c r="B64" s="309"/>
      <c r="C64" s="309"/>
      <c r="D64" s="309"/>
      <c r="E64" s="309"/>
      <c r="F64" s="309"/>
      <c r="G64" s="309"/>
      <c r="H64" s="309"/>
      <c r="I64" s="309"/>
      <c r="J64" s="309"/>
      <c r="K64" s="309"/>
      <c r="L64" s="11"/>
      <c r="M64" s="11"/>
    </row>
    <row r="65" spans="1:29" ht="15" customHeight="1" x14ac:dyDescent="0.25">
      <c r="A65" s="310" t="s">
        <v>86</v>
      </c>
      <c r="B65" s="310"/>
      <c r="C65" s="310"/>
      <c r="D65" s="310"/>
      <c r="E65" s="310"/>
      <c r="F65" s="310"/>
      <c r="G65" s="310"/>
      <c r="H65" s="310"/>
      <c r="I65" s="310"/>
      <c r="J65" s="310"/>
      <c r="K65" s="310"/>
      <c r="L65" s="11"/>
      <c r="M65" s="11"/>
      <c r="P65" s="53"/>
    </row>
    <row r="66" spans="1:29" ht="15" customHeight="1" x14ac:dyDescent="0.25">
      <c r="A66" s="311"/>
      <c r="B66" s="311"/>
      <c r="C66" s="311"/>
      <c r="D66" s="311"/>
      <c r="E66" s="311"/>
      <c r="F66" s="311"/>
      <c r="G66" s="311"/>
      <c r="H66" s="311"/>
      <c r="I66" s="311"/>
      <c r="J66" s="311"/>
      <c r="K66" s="311"/>
      <c r="L66" s="11"/>
      <c r="M66" s="11"/>
      <c r="P66" s="52"/>
    </row>
    <row r="67" spans="1:29" ht="15" customHeight="1" x14ac:dyDescent="0.25">
      <c r="A67" s="39">
        <v>2</v>
      </c>
      <c r="B67" s="296" t="s">
        <v>70</v>
      </c>
      <c r="C67" s="296"/>
      <c r="D67" s="296"/>
      <c r="E67" s="296"/>
      <c r="F67" s="296"/>
      <c r="G67" s="296"/>
      <c r="H67" s="211"/>
      <c r="I67" s="211"/>
      <c r="J67" s="278" t="s">
        <v>10</v>
      </c>
      <c r="K67" s="278"/>
      <c r="L67" s="11"/>
      <c r="M67" s="11"/>
    </row>
    <row r="68" spans="1:29" ht="15" customHeight="1" x14ac:dyDescent="0.25">
      <c r="A68" s="24" t="s">
        <v>85</v>
      </c>
      <c r="B68" s="276" t="s">
        <v>84</v>
      </c>
      <c r="C68" s="276"/>
      <c r="D68" s="276"/>
      <c r="E68" s="276"/>
      <c r="F68" s="276"/>
      <c r="G68" s="276"/>
      <c r="H68" s="210"/>
      <c r="I68" s="210"/>
      <c r="J68" s="277">
        <f>K40</f>
        <v>485.817228</v>
      </c>
      <c r="K68" s="277"/>
      <c r="L68" s="11"/>
      <c r="M68" s="14"/>
      <c r="N68" s="10"/>
      <c r="O68" s="10"/>
      <c r="P68" s="10"/>
      <c r="Q68" s="10"/>
    </row>
    <row r="69" spans="1:29" ht="15" customHeight="1" x14ac:dyDescent="0.25">
      <c r="A69" s="24" t="s">
        <v>83</v>
      </c>
      <c r="B69" s="276" t="s">
        <v>82</v>
      </c>
      <c r="C69" s="276"/>
      <c r="D69" s="276"/>
      <c r="E69" s="276"/>
      <c r="F69" s="276"/>
      <c r="G69" s="276"/>
      <c r="H69" s="210"/>
      <c r="I69" s="210"/>
      <c r="J69" s="277">
        <f>K51</f>
        <v>1053.8700199040002</v>
      </c>
      <c r="K69" s="277"/>
      <c r="L69" s="11"/>
      <c r="M69" s="11"/>
    </row>
    <row r="70" spans="1:29" ht="15" customHeight="1" x14ac:dyDescent="0.25">
      <c r="A70" s="24" t="s">
        <v>81</v>
      </c>
      <c r="B70" s="276" t="s">
        <v>80</v>
      </c>
      <c r="C70" s="276"/>
      <c r="D70" s="276"/>
      <c r="E70" s="276"/>
      <c r="F70" s="276"/>
      <c r="G70" s="276"/>
      <c r="H70" s="210"/>
      <c r="I70" s="210"/>
      <c r="J70" s="277">
        <f>J63</f>
        <v>944.50000000000011</v>
      </c>
      <c r="K70" s="277"/>
      <c r="L70" s="11"/>
      <c r="M70" s="11"/>
    </row>
    <row r="71" spans="1:29" ht="15" customHeight="1" x14ac:dyDescent="0.25">
      <c r="A71" s="308" t="s">
        <v>68</v>
      </c>
      <c r="B71" s="308"/>
      <c r="C71" s="308"/>
      <c r="D71" s="308"/>
      <c r="E71" s="308"/>
      <c r="F71" s="308"/>
      <c r="G71" s="308"/>
      <c r="H71" s="40"/>
      <c r="I71" s="40"/>
      <c r="J71" s="328">
        <f>SUM(J68:K70)</f>
        <v>2484.1872479040003</v>
      </c>
      <c r="K71" s="328"/>
      <c r="L71" s="11"/>
      <c r="M71" s="11"/>
    </row>
    <row r="72" spans="1:29" ht="15" customHeight="1" x14ac:dyDescent="0.25">
      <c r="A72" s="306"/>
      <c r="B72" s="306"/>
      <c r="C72" s="306"/>
      <c r="D72" s="306"/>
      <c r="E72" s="306"/>
      <c r="F72" s="306"/>
      <c r="G72" s="306"/>
      <c r="H72" s="306"/>
      <c r="I72" s="306"/>
      <c r="J72" s="306"/>
      <c r="K72" s="306"/>
      <c r="L72" s="11"/>
      <c r="M72" s="11"/>
    </row>
    <row r="73" spans="1:29" ht="15" customHeight="1" x14ac:dyDescent="0.25">
      <c r="A73" s="286" t="s">
        <v>79</v>
      </c>
      <c r="B73" s="287"/>
      <c r="C73" s="287"/>
      <c r="D73" s="287"/>
      <c r="E73" s="287"/>
      <c r="F73" s="287"/>
      <c r="G73" s="287"/>
      <c r="H73" s="287"/>
      <c r="I73" s="287"/>
      <c r="J73" s="287"/>
      <c r="K73" s="288"/>
      <c r="L73" s="11"/>
      <c r="M73" s="320"/>
      <c r="N73" s="320"/>
      <c r="O73" s="320"/>
      <c r="P73" s="320"/>
    </row>
    <row r="74" spans="1:29" ht="15" customHeight="1" x14ac:dyDescent="0.25">
      <c r="A74" s="40">
        <v>3</v>
      </c>
      <c r="B74" s="60" t="s">
        <v>169</v>
      </c>
      <c r="C74" s="59"/>
      <c r="D74" s="59"/>
      <c r="E74" s="59"/>
      <c r="F74" s="59"/>
      <c r="G74" s="59"/>
      <c r="H74" s="59"/>
      <c r="I74" s="59"/>
      <c r="J74" s="40" t="s">
        <v>64</v>
      </c>
      <c r="K74" s="43" t="s">
        <v>10</v>
      </c>
      <c r="L74" s="11"/>
      <c r="M74" s="320"/>
      <c r="N74" s="320"/>
      <c r="O74" s="320"/>
      <c r="P74" s="320"/>
    </row>
    <row r="75" spans="1:29" ht="15" customHeight="1" x14ac:dyDescent="0.25">
      <c r="A75" s="23" t="s">
        <v>2</v>
      </c>
      <c r="B75" s="324" t="s">
        <v>260</v>
      </c>
      <c r="C75" s="325"/>
      <c r="D75" s="325"/>
      <c r="E75" s="325"/>
      <c r="F75" s="325"/>
      <c r="G75" s="326"/>
      <c r="H75" s="222"/>
      <c r="I75" s="222"/>
      <c r="J75" s="55">
        <v>4.6249999999999998E-3</v>
      </c>
      <c r="K75" s="32">
        <f>$J$75*(J26+J27+J29)</f>
        <v>10.998065</v>
      </c>
      <c r="L75" s="11"/>
      <c r="M75" s="330"/>
      <c r="N75" s="330"/>
      <c r="O75" s="330"/>
      <c r="P75" s="330"/>
      <c r="Q75" s="330"/>
      <c r="R75" s="330"/>
      <c r="S75" s="330"/>
      <c r="T75" s="330"/>
      <c r="U75" s="330"/>
      <c r="V75" s="330"/>
      <c r="W75" s="330"/>
      <c r="X75" s="330"/>
      <c r="Y75" s="330"/>
      <c r="Z75" s="330"/>
      <c r="AA75" s="330"/>
      <c r="AB75" s="330"/>
      <c r="AC75" s="330"/>
    </row>
    <row r="76" spans="1:29" ht="15" customHeight="1" x14ac:dyDescent="0.25">
      <c r="A76" s="23" t="s">
        <v>3</v>
      </c>
      <c r="B76" s="62" t="s">
        <v>26</v>
      </c>
      <c r="C76" s="63"/>
      <c r="D76" s="63"/>
      <c r="E76" s="63"/>
      <c r="F76" s="63"/>
      <c r="G76" s="63"/>
      <c r="H76" s="63"/>
      <c r="I76" s="63"/>
      <c r="J76" s="55">
        <f>K76/(J26+J27+J29)</f>
        <v>3.7000000000000005E-4</v>
      </c>
      <c r="K76" s="32">
        <f>K75*0.08</f>
        <v>0.8798452000000001</v>
      </c>
      <c r="L76" s="11"/>
      <c r="M76" s="108"/>
      <c r="N76" s="52"/>
    </row>
    <row r="77" spans="1:29" ht="15" customHeight="1" x14ac:dyDescent="0.25">
      <c r="A77" s="23" t="s">
        <v>4</v>
      </c>
      <c r="B77" s="62" t="s">
        <v>321</v>
      </c>
      <c r="C77" s="63"/>
      <c r="D77" s="63"/>
      <c r="E77" s="63"/>
      <c r="F77" s="63"/>
      <c r="G77" s="63"/>
      <c r="H77" s="63"/>
      <c r="I77" s="63"/>
      <c r="J77" s="55">
        <v>5.4000000000000003E-3</v>
      </c>
      <c r="K77" s="32">
        <f>K75*0.4</f>
        <v>4.3992260000000005</v>
      </c>
      <c r="L77" s="11"/>
      <c r="M77" s="320"/>
      <c r="N77" s="320"/>
      <c r="O77" s="320"/>
      <c r="P77" s="320"/>
      <c r="Q77" s="320"/>
      <c r="R77" s="320"/>
      <c r="S77" s="320"/>
      <c r="T77" s="320"/>
      <c r="U77" s="320"/>
      <c r="V77" s="320"/>
      <c r="W77" s="320"/>
      <c r="X77" s="320"/>
      <c r="Y77" s="320"/>
      <c r="Z77" s="320"/>
      <c r="AA77" s="320"/>
      <c r="AB77" s="320"/>
    </row>
    <row r="78" spans="1:29" ht="15" customHeight="1" x14ac:dyDescent="0.25">
      <c r="A78" s="23" t="s">
        <v>5</v>
      </c>
      <c r="B78" s="324" t="s">
        <v>261</v>
      </c>
      <c r="C78" s="325"/>
      <c r="D78" s="325"/>
      <c r="E78" s="325"/>
      <c r="F78" s="325"/>
      <c r="G78" s="326"/>
      <c r="H78" s="222"/>
      <c r="I78" s="222"/>
      <c r="J78" s="55">
        <f>7/30/12</f>
        <v>1.9444444444444445E-2</v>
      </c>
      <c r="K78" s="32">
        <f>J78*(J26+J27+J29)</f>
        <v>46.23811111111111</v>
      </c>
      <c r="L78" s="11"/>
      <c r="M78" s="108"/>
      <c r="O78" s="54"/>
    </row>
    <row r="79" spans="1:29" ht="15" customHeight="1" x14ac:dyDescent="0.25">
      <c r="A79" s="23" t="s">
        <v>11</v>
      </c>
      <c r="B79" s="62" t="s">
        <v>78</v>
      </c>
      <c r="C79" s="63"/>
      <c r="D79" s="63"/>
      <c r="E79" s="63"/>
      <c r="F79" s="63"/>
      <c r="G79" s="63"/>
      <c r="H79" s="63"/>
      <c r="I79" s="63"/>
      <c r="J79" s="55">
        <f>J51*J78</f>
        <v>7.1555555555555565E-3</v>
      </c>
      <c r="K79" s="32">
        <f>J79*(J26+J27+J29)</f>
        <v>17.01562488888889</v>
      </c>
      <c r="L79" s="11"/>
      <c r="M79" s="320"/>
      <c r="N79" s="320"/>
      <c r="O79" s="320"/>
      <c r="P79" s="320"/>
    </row>
    <row r="80" spans="1:29" ht="15" customHeight="1" x14ac:dyDescent="0.25">
      <c r="A80" s="23" t="s">
        <v>12</v>
      </c>
      <c r="B80" s="62" t="s">
        <v>322</v>
      </c>
      <c r="C80" s="63"/>
      <c r="D80" s="63"/>
      <c r="E80" s="63"/>
      <c r="F80" s="63"/>
      <c r="G80" s="63"/>
      <c r="H80" s="63"/>
      <c r="I80" s="63"/>
      <c r="J80" s="55">
        <v>3.4599999999999999E-2</v>
      </c>
      <c r="K80" s="32">
        <f>J80*(J26+J27+J29)</f>
        <v>82.277416000000002</v>
      </c>
      <c r="L80" s="11"/>
      <c r="M80" s="327"/>
      <c r="N80" s="327"/>
      <c r="O80" s="327"/>
      <c r="P80" s="327"/>
      <c r="Q80" s="327"/>
    </row>
    <row r="81" spans="1:42" ht="15" customHeight="1" x14ac:dyDescent="0.25">
      <c r="A81" s="60" t="s">
        <v>68</v>
      </c>
      <c r="B81" s="59"/>
      <c r="C81" s="59"/>
      <c r="D81" s="59"/>
      <c r="E81" s="59"/>
      <c r="F81" s="59"/>
      <c r="G81" s="59"/>
      <c r="H81" s="59"/>
      <c r="I81" s="59"/>
      <c r="J81" s="328">
        <f>SUM(K75:K80)</f>
        <v>161.80828819999999</v>
      </c>
      <c r="K81" s="328"/>
      <c r="L81" s="11"/>
      <c r="M81" s="109"/>
    </row>
    <row r="82" spans="1:42" ht="15" customHeight="1" x14ac:dyDescent="0.25">
      <c r="A82" s="329"/>
      <c r="B82" s="329"/>
      <c r="C82" s="329"/>
      <c r="D82" s="329"/>
      <c r="E82" s="329"/>
      <c r="F82" s="329"/>
      <c r="G82" s="329"/>
      <c r="H82" s="329"/>
      <c r="I82" s="329"/>
      <c r="J82" s="329"/>
      <c r="K82" s="329"/>
      <c r="L82" s="11"/>
      <c r="M82" s="320"/>
      <c r="N82" s="320"/>
      <c r="O82" s="320"/>
      <c r="P82" s="320"/>
      <c r="Q82" s="320"/>
      <c r="R82" s="320"/>
      <c r="S82" s="320"/>
      <c r="T82" s="320"/>
      <c r="U82" s="320"/>
      <c r="V82" s="320"/>
      <c r="W82" s="320"/>
      <c r="X82" s="320"/>
      <c r="Y82" s="320"/>
      <c r="Z82" s="320"/>
      <c r="AA82" s="320"/>
      <c r="AB82" s="320"/>
    </row>
    <row r="83" spans="1:42" ht="15" customHeight="1" x14ac:dyDescent="0.25">
      <c r="A83" s="286" t="s">
        <v>76</v>
      </c>
      <c r="B83" s="287"/>
      <c r="C83" s="287"/>
      <c r="D83" s="287"/>
      <c r="E83" s="287"/>
      <c r="F83" s="287"/>
      <c r="G83" s="287"/>
      <c r="H83" s="287"/>
      <c r="I83" s="287"/>
      <c r="J83" s="287"/>
      <c r="K83" s="288"/>
      <c r="L83" s="11"/>
      <c r="M83" s="108"/>
    </row>
    <row r="84" spans="1:42" ht="15" customHeight="1" x14ac:dyDescent="0.25">
      <c r="A84" s="317" t="s">
        <v>75</v>
      </c>
      <c r="B84" s="318"/>
      <c r="C84" s="318"/>
      <c r="D84" s="318"/>
      <c r="E84" s="318"/>
      <c r="F84" s="318"/>
      <c r="G84" s="318"/>
      <c r="H84" s="318"/>
      <c r="I84" s="318"/>
      <c r="J84" s="318"/>
      <c r="K84" s="319"/>
      <c r="L84" s="11"/>
      <c r="M84" s="320"/>
      <c r="N84" s="320"/>
      <c r="O84" s="320"/>
      <c r="P84" s="320"/>
      <c r="Q84" s="320"/>
      <c r="R84" s="320"/>
      <c r="S84" s="320"/>
      <c r="T84" s="320"/>
      <c r="U84" s="320"/>
      <c r="V84" s="320"/>
      <c r="W84" s="320"/>
      <c r="X84" s="320"/>
      <c r="Y84" s="320"/>
      <c r="Z84" s="320"/>
      <c r="AA84" s="320"/>
      <c r="AB84" s="320"/>
      <c r="AC84" s="320"/>
      <c r="AD84" s="320"/>
      <c r="AE84" s="320"/>
      <c r="AF84" s="320"/>
      <c r="AG84" s="320"/>
      <c r="AH84" s="320"/>
      <c r="AI84" s="320"/>
      <c r="AJ84" s="320"/>
      <c r="AK84" s="320"/>
      <c r="AL84" s="320"/>
      <c r="AM84" s="320"/>
      <c r="AN84" s="320"/>
      <c r="AO84" s="320"/>
      <c r="AP84" s="320"/>
    </row>
    <row r="85" spans="1:42" ht="15" customHeight="1" x14ac:dyDescent="0.25">
      <c r="A85" s="40" t="s">
        <v>17</v>
      </c>
      <c r="B85" s="321" t="s">
        <v>74</v>
      </c>
      <c r="C85" s="322"/>
      <c r="D85" s="322"/>
      <c r="E85" s="322"/>
      <c r="F85" s="322"/>
      <c r="G85" s="323"/>
      <c r="H85" s="219"/>
      <c r="I85" s="219"/>
      <c r="J85" s="40" t="s">
        <v>64</v>
      </c>
      <c r="K85" s="40" t="s">
        <v>10</v>
      </c>
      <c r="L85" s="11"/>
      <c r="M85" s="108"/>
    </row>
    <row r="86" spans="1:42" ht="15" customHeight="1" x14ac:dyDescent="0.25">
      <c r="A86" s="23" t="s">
        <v>2</v>
      </c>
      <c r="B86" s="62" t="s">
        <v>73</v>
      </c>
      <c r="C86" s="63"/>
      <c r="D86" s="63"/>
      <c r="E86" s="63"/>
      <c r="F86" s="63"/>
      <c r="G86" s="63"/>
      <c r="H86" s="63"/>
      <c r="I86" s="63"/>
      <c r="J86" s="55">
        <f>'Memória de Cálculo'!C48</f>
        <v>6.9444444444444441E-3</v>
      </c>
      <c r="K86" s="30">
        <f>J86*(J26+J27+J29)</f>
        <v>16.513611111111111</v>
      </c>
      <c r="L86" s="11"/>
      <c r="M86" s="11"/>
    </row>
    <row r="87" spans="1:42" ht="15" customHeight="1" x14ac:dyDescent="0.25">
      <c r="A87" s="23" t="s">
        <v>3</v>
      </c>
      <c r="B87" s="62" t="s">
        <v>277</v>
      </c>
      <c r="C87" s="63"/>
      <c r="D87" s="63"/>
      <c r="E87" s="63"/>
      <c r="F87" s="63"/>
      <c r="G87" s="63"/>
      <c r="H87" s="63"/>
      <c r="I87" s="63"/>
      <c r="J87" s="55">
        <f>'Memória de Cálculo'!C49</f>
        <v>8.3333333333333332E-3</v>
      </c>
      <c r="K87" s="30">
        <f>J87*(J26+J27+J29)</f>
        <v>19.816333333333333</v>
      </c>
      <c r="L87" s="11"/>
      <c r="M87" s="13"/>
      <c r="N87" s="9"/>
      <c r="O87" s="9"/>
      <c r="Q87" s="64"/>
    </row>
    <row r="88" spans="1:42" ht="15" customHeight="1" x14ac:dyDescent="0.25">
      <c r="A88" s="23" t="s">
        <v>4</v>
      </c>
      <c r="B88" s="62" t="s">
        <v>331</v>
      </c>
      <c r="C88" s="63"/>
      <c r="D88" s="63"/>
      <c r="E88" s="63"/>
      <c r="F88" s="63"/>
      <c r="G88" s="63"/>
      <c r="H88" s="63"/>
      <c r="I88" s="63"/>
      <c r="J88" s="55">
        <f>'Memória de Cálculo'!C50</f>
        <v>5.2499999999999997E-4</v>
      </c>
      <c r="K88" s="30">
        <f>J88*(J26+J27)</f>
        <v>1.248429</v>
      </c>
      <c r="L88" s="11"/>
      <c r="M88" s="13"/>
      <c r="N88" s="9"/>
      <c r="O88" s="9"/>
      <c r="Q88" s="64"/>
    </row>
    <row r="89" spans="1:42" ht="15" customHeight="1" x14ac:dyDescent="0.25">
      <c r="A89" s="23" t="s">
        <v>5</v>
      </c>
      <c r="B89" s="62" t="s">
        <v>137</v>
      </c>
      <c r="C89" s="63"/>
      <c r="D89" s="63"/>
      <c r="E89" s="63"/>
      <c r="F89" s="63"/>
      <c r="G89" s="63"/>
      <c r="H89" s="63"/>
      <c r="I89" s="63"/>
      <c r="J89" s="55">
        <f>'Memória de Cálculo'!C51</f>
        <v>1.1250000000000001E-4</v>
      </c>
      <c r="K89" s="30">
        <f>J89*(J26+J27+J29)</f>
        <v>0.26752050000000005</v>
      </c>
      <c r="L89" s="11"/>
      <c r="M89" s="11"/>
    </row>
    <row r="90" spans="1:42" ht="15" customHeight="1" x14ac:dyDescent="0.25">
      <c r="A90" s="23" t="s">
        <v>11</v>
      </c>
      <c r="B90" s="62" t="s">
        <v>72</v>
      </c>
      <c r="C90" s="63"/>
      <c r="D90" s="63"/>
      <c r="E90" s="63"/>
      <c r="F90" s="63"/>
      <c r="G90" s="63"/>
      <c r="H90" s="63"/>
      <c r="I90" s="63"/>
      <c r="J90" s="55">
        <f>'Memória de Cálculo'!C52</f>
        <v>4.1666666666666664E-2</v>
      </c>
      <c r="K90" s="30">
        <f>J90*(J26+J27+J29)</f>
        <v>99.081666666666663</v>
      </c>
      <c r="L90" s="11"/>
      <c r="M90" s="11"/>
    </row>
    <row r="91" spans="1:42" ht="15" customHeight="1" x14ac:dyDescent="0.25">
      <c r="A91" s="23" t="s">
        <v>12</v>
      </c>
      <c r="B91" s="62" t="s">
        <v>276</v>
      </c>
      <c r="C91" s="63"/>
      <c r="D91" s="63"/>
      <c r="E91" s="63"/>
      <c r="F91" s="63"/>
      <c r="G91" s="63"/>
      <c r="H91" s="63"/>
      <c r="I91" s="63"/>
      <c r="J91" s="55">
        <f>'Memória de Cálculo'!C53</f>
        <v>1.3888888888888888E-2</v>
      </c>
      <c r="K91" s="30">
        <f>J91*(J26+J27+J29)</f>
        <v>33.027222222222221</v>
      </c>
      <c r="L91" s="11"/>
      <c r="M91" s="11"/>
      <c r="O91" s="68"/>
    </row>
    <row r="92" spans="1:42" ht="15" customHeight="1" x14ac:dyDescent="0.25">
      <c r="A92" s="23"/>
      <c r="B92" s="281" t="s">
        <v>341</v>
      </c>
      <c r="C92" s="312"/>
      <c r="D92" s="312"/>
      <c r="E92" s="312"/>
      <c r="F92" s="312"/>
      <c r="G92" s="282"/>
      <c r="H92" s="216"/>
      <c r="I92" s="216"/>
      <c r="J92" s="67">
        <f>SUM(J86:J91)</f>
        <v>7.1470833333333331E-2</v>
      </c>
      <c r="K92" s="30"/>
      <c r="L92" s="11"/>
      <c r="M92" s="11"/>
    </row>
    <row r="93" spans="1:42" ht="15" customHeight="1" x14ac:dyDescent="0.25">
      <c r="A93" s="23" t="s">
        <v>23</v>
      </c>
      <c r="B93" s="241" t="s">
        <v>332</v>
      </c>
      <c r="C93" s="63"/>
      <c r="D93" s="63"/>
      <c r="E93" s="63"/>
      <c r="F93" s="63"/>
      <c r="G93" s="63"/>
      <c r="H93" s="63"/>
      <c r="I93" s="63"/>
      <c r="J93" s="55">
        <f>SUM(J86:J89)*J51</f>
        <v>5.8568222222222235E-3</v>
      </c>
      <c r="K93" s="30">
        <f>J93*(J26+J27+J29)</f>
        <v>13.927288971555559</v>
      </c>
      <c r="L93" s="11"/>
      <c r="M93" s="11"/>
    </row>
    <row r="94" spans="1:42" ht="15" customHeight="1" x14ac:dyDescent="0.25">
      <c r="A94" s="281" t="s">
        <v>68</v>
      </c>
      <c r="B94" s="312"/>
      <c r="C94" s="312"/>
      <c r="D94" s="312"/>
      <c r="E94" s="312"/>
      <c r="F94" s="312"/>
      <c r="G94" s="282"/>
      <c r="H94" s="216"/>
      <c r="I94" s="216"/>
      <c r="J94" s="42">
        <f>J92+J93</f>
        <v>7.7327655555555555E-2</v>
      </c>
      <c r="K94" s="41">
        <f>SUM(K86:K91,K93:K93)</f>
        <v>183.88207180488891</v>
      </c>
      <c r="L94" s="11"/>
      <c r="M94" s="11"/>
    </row>
    <row r="95" spans="1:42" ht="15" customHeight="1" x14ac:dyDescent="0.25">
      <c r="A95" s="309"/>
      <c r="B95" s="309"/>
      <c r="C95" s="309"/>
      <c r="D95" s="309"/>
      <c r="E95" s="309"/>
      <c r="F95" s="309"/>
      <c r="G95" s="309"/>
      <c r="H95" s="309"/>
      <c r="I95" s="309"/>
      <c r="J95" s="309"/>
      <c r="K95" s="309"/>
      <c r="L95" s="11"/>
      <c r="M95" s="11"/>
    </row>
    <row r="96" spans="1:42" ht="15" customHeight="1" x14ac:dyDescent="0.25">
      <c r="A96" s="310" t="s">
        <v>71</v>
      </c>
      <c r="B96" s="310"/>
      <c r="C96" s="310"/>
      <c r="D96" s="310"/>
      <c r="E96" s="310"/>
      <c r="F96" s="310"/>
      <c r="G96" s="310"/>
      <c r="H96" s="310"/>
      <c r="I96" s="310"/>
      <c r="J96" s="310"/>
      <c r="K96" s="310"/>
      <c r="L96" s="11"/>
      <c r="M96" s="11"/>
    </row>
    <row r="97" spans="1:14" ht="15" customHeight="1" x14ac:dyDescent="0.25">
      <c r="A97" s="311"/>
      <c r="B97" s="311"/>
      <c r="C97" s="311"/>
      <c r="D97" s="311"/>
      <c r="E97" s="311"/>
      <c r="F97" s="311"/>
      <c r="G97" s="311"/>
      <c r="H97" s="311"/>
      <c r="I97" s="311"/>
      <c r="J97" s="311"/>
      <c r="K97" s="311"/>
      <c r="L97" s="11"/>
      <c r="M97" s="11"/>
    </row>
    <row r="98" spans="1:14" ht="15" customHeight="1" x14ac:dyDescent="0.25">
      <c r="A98" s="39">
        <v>4</v>
      </c>
      <c r="B98" s="99" t="s">
        <v>70</v>
      </c>
      <c r="C98" s="100"/>
      <c r="D98" s="100"/>
      <c r="E98" s="100"/>
      <c r="F98" s="100"/>
      <c r="G98" s="100"/>
      <c r="H98" s="100"/>
      <c r="I98" s="100"/>
      <c r="J98" s="312" t="s">
        <v>10</v>
      </c>
      <c r="K98" s="282"/>
      <c r="L98" s="199"/>
      <c r="M98" s="11"/>
    </row>
    <row r="99" spans="1:14" ht="15" customHeight="1" x14ac:dyDescent="0.25">
      <c r="A99" s="24" t="s">
        <v>17</v>
      </c>
      <c r="B99" s="97" t="s">
        <v>69</v>
      </c>
      <c r="C99" s="98"/>
      <c r="D99" s="98"/>
      <c r="E99" s="98"/>
      <c r="F99" s="98"/>
      <c r="G99" s="98"/>
      <c r="H99" s="98"/>
      <c r="I99" s="98"/>
      <c r="J99" s="313">
        <f>K94</f>
        <v>183.88207180488891</v>
      </c>
      <c r="K99" s="314"/>
      <c r="L99" s="200"/>
      <c r="M99" s="11"/>
    </row>
    <row r="100" spans="1:14" ht="15" customHeight="1" x14ac:dyDescent="0.25">
      <c r="A100" s="60" t="s">
        <v>68</v>
      </c>
      <c r="B100" s="59"/>
      <c r="C100" s="59"/>
      <c r="D100" s="59"/>
      <c r="E100" s="59"/>
      <c r="F100" s="59"/>
      <c r="G100" s="59"/>
      <c r="H100" s="59"/>
      <c r="I100" s="59"/>
      <c r="J100" s="315">
        <f>SUM(J99:L99)</f>
        <v>183.88207180488891</v>
      </c>
      <c r="K100" s="316"/>
      <c r="L100" s="201"/>
      <c r="M100" s="11"/>
    </row>
    <row r="101" spans="1:14" ht="15" customHeight="1" x14ac:dyDescent="0.25">
      <c r="A101" s="306"/>
      <c r="B101" s="306"/>
      <c r="C101" s="306"/>
      <c r="D101" s="306"/>
      <c r="E101" s="306"/>
      <c r="F101" s="306"/>
      <c r="G101" s="306"/>
      <c r="H101" s="306"/>
      <c r="I101" s="306"/>
      <c r="J101" s="306"/>
      <c r="K101" s="306"/>
      <c r="L101" s="11"/>
      <c r="M101" s="11"/>
    </row>
    <row r="102" spans="1:14" ht="15" customHeight="1" x14ac:dyDescent="0.25">
      <c r="A102" s="286" t="s">
        <v>67</v>
      </c>
      <c r="B102" s="287"/>
      <c r="C102" s="287"/>
      <c r="D102" s="287"/>
      <c r="E102" s="287"/>
      <c r="F102" s="287"/>
      <c r="G102" s="287"/>
      <c r="H102" s="287"/>
      <c r="I102" s="287"/>
      <c r="J102" s="287"/>
      <c r="K102" s="288"/>
      <c r="L102" s="11"/>
      <c r="M102" s="11"/>
    </row>
    <row r="103" spans="1:14" ht="15" customHeight="1" x14ac:dyDescent="0.25">
      <c r="A103" s="40">
        <v>5</v>
      </c>
      <c r="B103" s="307" t="s">
        <v>13</v>
      </c>
      <c r="C103" s="307"/>
      <c r="D103" s="307"/>
      <c r="E103" s="307"/>
      <c r="F103" s="307"/>
      <c r="G103" s="307"/>
      <c r="H103" s="215"/>
      <c r="I103" s="215"/>
      <c r="J103" s="308" t="s">
        <v>10</v>
      </c>
      <c r="K103" s="308"/>
      <c r="L103" s="11"/>
      <c r="M103" s="11"/>
    </row>
    <row r="104" spans="1:14" ht="15" customHeight="1" x14ac:dyDescent="0.25">
      <c r="A104" s="24" t="s">
        <v>2</v>
      </c>
      <c r="B104" s="301" t="s">
        <v>14</v>
      </c>
      <c r="C104" s="302"/>
      <c r="D104" s="302"/>
      <c r="E104" s="302"/>
      <c r="F104" s="302"/>
      <c r="G104" s="303"/>
      <c r="H104" s="214"/>
      <c r="I104" s="214"/>
      <c r="J104" s="300">
        <f>Uniformes!I21</f>
        <v>264.22733333333332</v>
      </c>
      <c r="K104" s="300"/>
      <c r="L104" s="11"/>
      <c r="M104" s="11"/>
    </row>
    <row r="105" spans="1:14" ht="15" customHeight="1" x14ac:dyDescent="0.25">
      <c r="A105" s="24" t="s">
        <v>3</v>
      </c>
      <c r="B105" s="297" t="s">
        <v>16</v>
      </c>
      <c r="C105" s="298"/>
      <c r="D105" s="298"/>
      <c r="E105" s="298"/>
      <c r="F105" s="298"/>
      <c r="G105" s="299"/>
      <c r="H105" s="212"/>
      <c r="I105" s="212"/>
      <c r="J105" s="300">
        <f>'Insumos e Equipamentos'!N19</f>
        <v>25.197484444444445</v>
      </c>
      <c r="K105" s="300"/>
      <c r="L105" s="11"/>
      <c r="M105" s="11"/>
    </row>
    <row r="106" spans="1:14" ht="15" customHeight="1" x14ac:dyDescent="0.25">
      <c r="A106" s="24" t="s">
        <v>4</v>
      </c>
      <c r="B106" s="301" t="s">
        <v>15</v>
      </c>
      <c r="C106" s="302"/>
      <c r="D106" s="302"/>
      <c r="E106" s="302"/>
      <c r="F106" s="302"/>
      <c r="G106" s="303"/>
      <c r="H106" s="214"/>
      <c r="I106" s="214"/>
      <c r="J106" s="300">
        <f>'Insumos e Equipamentos'!J12</f>
        <v>53.792672777777774</v>
      </c>
      <c r="K106" s="300"/>
      <c r="L106" s="11"/>
      <c r="M106" s="11"/>
    </row>
    <row r="107" spans="1:14" ht="15" customHeight="1" x14ac:dyDescent="0.25">
      <c r="A107" s="24" t="s">
        <v>5</v>
      </c>
      <c r="B107" s="301" t="s">
        <v>100</v>
      </c>
      <c r="C107" s="302"/>
      <c r="D107" s="302"/>
      <c r="E107" s="302"/>
      <c r="F107" s="302"/>
      <c r="G107" s="303"/>
      <c r="H107" s="233"/>
      <c r="I107" s="233"/>
      <c r="J107" s="304"/>
      <c r="K107" s="305"/>
      <c r="L107" s="11"/>
      <c r="M107" s="11"/>
    </row>
    <row r="108" spans="1:14" ht="15" customHeight="1" x14ac:dyDescent="0.25">
      <c r="A108" s="278" t="s">
        <v>37</v>
      </c>
      <c r="B108" s="278"/>
      <c r="C108" s="278"/>
      <c r="D108" s="278"/>
      <c r="E108" s="278"/>
      <c r="F108" s="278"/>
      <c r="G108" s="278"/>
      <c r="H108" s="39"/>
      <c r="I108" s="39"/>
      <c r="J108" s="289">
        <f>SUM(J104:K106)</f>
        <v>343.21749055555557</v>
      </c>
      <c r="K108" s="289"/>
      <c r="L108" s="11"/>
      <c r="M108" s="11"/>
    </row>
    <row r="109" spans="1:14" ht="15" customHeight="1" x14ac:dyDescent="0.25">
      <c r="A109" s="295"/>
      <c r="B109" s="295"/>
      <c r="C109" s="295"/>
      <c r="D109" s="295"/>
      <c r="E109" s="295"/>
      <c r="F109" s="295"/>
      <c r="G109" s="295"/>
      <c r="H109" s="295"/>
      <c r="I109" s="295"/>
      <c r="J109" s="295"/>
      <c r="K109" s="295"/>
      <c r="L109" s="11"/>
      <c r="M109" s="11"/>
    </row>
    <row r="110" spans="1:14" ht="15" customHeight="1" x14ac:dyDescent="0.25">
      <c r="A110" s="286" t="s">
        <v>65</v>
      </c>
      <c r="B110" s="287"/>
      <c r="C110" s="287"/>
      <c r="D110" s="287"/>
      <c r="E110" s="287"/>
      <c r="F110" s="287"/>
      <c r="G110" s="287"/>
      <c r="H110" s="287"/>
      <c r="I110" s="287"/>
      <c r="J110" s="287"/>
      <c r="K110" s="288"/>
      <c r="L110" s="11"/>
      <c r="M110" s="11"/>
    </row>
    <row r="111" spans="1:14" ht="15" customHeight="1" x14ac:dyDescent="0.25">
      <c r="A111" s="39">
        <v>6</v>
      </c>
      <c r="B111" s="296" t="s">
        <v>27</v>
      </c>
      <c r="C111" s="296"/>
      <c r="D111" s="296"/>
      <c r="E111" s="296"/>
      <c r="F111" s="296"/>
      <c r="G111" s="296"/>
      <c r="H111" s="211"/>
      <c r="I111" s="211"/>
      <c r="J111" s="39" t="s">
        <v>64</v>
      </c>
      <c r="K111" s="39" t="s">
        <v>10</v>
      </c>
      <c r="L111" s="11"/>
      <c r="M111" s="11"/>
    </row>
    <row r="112" spans="1:14" ht="15" customHeight="1" x14ac:dyDescent="0.25">
      <c r="A112" s="24" t="s">
        <v>2</v>
      </c>
      <c r="B112" s="276" t="s">
        <v>63</v>
      </c>
      <c r="C112" s="276"/>
      <c r="D112" s="276"/>
      <c r="E112" s="276"/>
      <c r="F112" s="276"/>
      <c r="G112" s="276"/>
      <c r="H112" s="210"/>
      <c r="I112" s="210"/>
      <c r="J112" s="34">
        <v>0.06</v>
      </c>
      <c r="K112" s="35">
        <f>J128*J112</f>
        <v>333.06330590786672</v>
      </c>
      <c r="L112" s="11"/>
      <c r="M112" s="11"/>
      <c r="N112" s="53"/>
    </row>
    <row r="113" spans="1:14" ht="15" customHeight="1" x14ac:dyDescent="0.25">
      <c r="A113" s="24" t="s">
        <v>3</v>
      </c>
      <c r="B113" s="276" t="s">
        <v>28</v>
      </c>
      <c r="C113" s="276"/>
      <c r="D113" s="276"/>
      <c r="E113" s="276"/>
      <c r="F113" s="276"/>
      <c r="G113" s="276"/>
      <c r="H113" s="210"/>
      <c r="I113" s="210"/>
      <c r="J113" s="34">
        <v>6.7900000000000002E-2</v>
      </c>
      <c r="K113" s="35">
        <f>(K112+J128)*J113</f>
        <v>399.53163965687997</v>
      </c>
      <c r="L113" s="11"/>
      <c r="M113" s="11"/>
      <c r="N113" s="52"/>
    </row>
    <row r="114" spans="1:14" ht="15" customHeight="1" x14ac:dyDescent="0.25">
      <c r="A114" s="24" t="s">
        <v>4</v>
      </c>
      <c r="B114" s="276" t="s">
        <v>29</v>
      </c>
      <c r="C114" s="276"/>
      <c r="D114" s="276"/>
      <c r="E114" s="276"/>
      <c r="F114" s="276"/>
      <c r="G114" s="276"/>
      <c r="H114" s="210"/>
      <c r="I114" s="210"/>
      <c r="J114" s="34">
        <f>SUM(J115:J117)</f>
        <v>8.6499999999999994E-2</v>
      </c>
      <c r="K114" s="35"/>
      <c r="L114" s="11"/>
      <c r="M114" s="11"/>
    </row>
    <row r="115" spans="1:14" ht="15" customHeight="1" x14ac:dyDescent="0.25">
      <c r="A115" s="292" t="s">
        <v>62</v>
      </c>
      <c r="B115" s="292"/>
      <c r="C115" s="293" t="s">
        <v>61</v>
      </c>
      <c r="D115" s="25" t="s">
        <v>30</v>
      </c>
      <c r="E115" s="26"/>
      <c r="F115" s="26"/>
      <c r="G115" s="28"/>
      <c r="H115" s="28"/>
      <c r="I115" s="28"/>
      <c r="J115" s="34">
        <v>6.4999999999999997E-3</v>
      </c>
      <c r="K115" s="35">
        <f>((J128+K112+K113)/(1-(J114)))*J115</f>
        <v>44.711248260744107</v>
      </c>
      <c r="L115" s="11"/>
      <c r="M115" s="11"/>
    </row>
    <row r="116" spans="1:14" ht="15" customHeight="1" x14ac:dyDescent="0.25">
      <c r="A116" s="292" t="s">
        <v>60</v>
      </c>
      <c r="B116" s="292"/>
      <c r="C116" s="294"/>
      <c r="D116" s="25" t="s">
        <v>31</v>
      </c>
      <c r="E116" s="26"/>
      <c r="F116" s="26"/>
      <c r="G116" s="28"/>
      <c r="H116" s="28"/>
      <c r="I116" s="28"/>
      <c r="J116" s="34">
        <v>0.03</v>
      </c>
      <c r="K116" s="35">
        <f>((J128+K112+K113)/(1-(J114)))*J116</f>
        <v>206.35960735728051</v>
      </c>
      <c r="L116" s="11"/>
      <c r="M116" s="11"/>
    </row>
    <row r="117" spans="1:14" ht="15" customHeight="1" x14ac:dyDescent="0.25">
      <c r="A117" s="292" t="s">
        <v>59</v>
      </c>
      <c r="B117" s="292"/>
      <c r="C117" s="36" t="s">
        <v>58</v>
      </c>
      <c r="D117" s="25" t="s">
        <v>32</v>
      </c>
      <c r="E117" s="26"/>
      <c r="F117" s="26"/>
      <c r="G117" s="28"/>
      <c r="H117" s="28"/>
      <c r="I117" s="28"/>
      <c r="J117" s="34">
        <v>0.05</v>
      </c>
      <c r="K117" s="35">
        <f>((J128+K112+K113)/(1-(J114)))*J117</f>
        <v>343.9326789288009</v>
      </c>
      <c r="L117" s="11"/>
      <c r="M117" s="11"/>
    </row>
    <row r="118" spans="1:14" ht="15" customHeight="1" x14ac:dyDescent="0.25">
      <c r="A118" s="278" t="s">
        <v>37</v>
      </c>
      <c r="B118" s="278"/>
      <c r="C118" s="278"/>
      <c r="D118" s="278"/>
      <c r="E118" s="278"/>
      <c r="F118" s="278"/>
      <c r="G118" s="278"/>
      <c r="H118" s="39"/>
      <c r="I118" s="39"/>
      <c r="J118" s="38">
        <f>J114+J113+J112</f>
        <v>0.21439999999999998</v>
      </c>
      <c r="K118" s="37">
        <f>J128*J118</f>
        <v>1190.1462131107769</v>
      </c>
      <c r="L118" s="11"/>
      <c r="M118" s="11"/>
    </row>
    <row r="119" spans="1:14" ht="15" customHeight="1" x14ac:dyDescent="0.25">
      <c r="A119" s="290"/>
      <c r="B119" s="290"/>
      <c r="C119" s="290"/>
      <c r="D119" s="290"/>
      <c r="E119" s="290"/>
      <c r="F119" s="290"/>
      <c r="G119" s="290"/>
      <c r="H119" s="290"/>
      <c r="I119" s="290"/>
      <c r="J119" s="290"/>
      <c r="K119" s="290"/>
      <c r="L119" s="11"/>
      <c r="M119" s="11"/>
    </row>
    <row r="120" spans="1:14" ht="15" customHeight="1" x14ac:dyDescent="0.25">
      <c r="A120" s="285" t="s">
        <v>33</v>
      </c>
      <c r="B120" s="285"/>
      <c r="C120" s="285"/>
      <c r="D120" s="285"/>
      <c r="E120" s="285"/>
      <c r="F120" s="285"/>
      <c r="G120" s="285"/>
      <c r="H120" s="285"/>
      <c r="I120" s="285"/>
      <c r="J120" s="285"/>
      <c r="K120" s="285"/>
      <c r="L120" s="11"/>
      <c r="M120" s="11"/>
    </row>
    <row r="121" spans="1:14" ht="15" customHeight="1" x14ac:dyDescent="0.25">
      <c r="A121" s="291"/>
      <c r="B121" s="291"/>
      <c r="C121" s="291"/>
      <c r="D121" s="291"/>
      <c r="E121" s="291"/>
      <c r="F121" s="291"/>
      <c r="G121" s="291"/>
      <c r="H121" s="291"/>
      <c r="I121" s="291"/>
      <c r="J121" s="291"/>
      <c r="K121" s="291"/>
      <c r="L121" s="11"/>
      <c r="M121" s="11"/>
    </row>
    <row r="122" spans="1:14" ht="15" customHeight="1" x14ac:dyDescent="0.25">
      <c r="A122" s="278" t="s">
        <v>57</v>
      </c>
      <c r="B122" s="278"/>
      <c r="C122" s="278"/>
      <c r="D122" s="278"/>
      <c r="E122" s="278"/>
      <c r="F122" s="278"/>
      <c r="G122" s="278"/>
      <c r="H122" s="39"/>
      <c r="I122" s="39"/>
      <c r="J122" s="278" t="s">
        <v>10</v>
      </c>
      <c r="K122" s="278"/>
      <c r="L122" s="11"/>
      <c r="M122" s="11"/>
    </row>
    <row r="123" spans="1:14" ht="15" customHeight="1" x14ac:dyDescent="0.25">
      <c r="A123" s="24" t="s">
        <v>2</v>
      </c>
      <c r="B123" s="276" t="s">
        <v>34</v>
      </c>
      <c r="C123" s="276"/>
      <c r="D123" s="276"/>
      <c r="E123" s="276"/>
      <c r="F123" s="276"/>
      <c r="G123" s="276"/>
      <c r="H123" s="210"/>
      <c r="I123" s="210"/>
      <c r="J123" s="277">
        <f>J34</f>
        <v>2377.96</v>
      </c>
      <c r="K123" s="277"/>
      <c r="L123" s="11"/>
      <c r="M123" s="11"/>
    </row>
    <row r="124" spans="1:14" ht="15" customHeight="1" x14ac:dyDescent="0.25">
      <c r="A124" s="24" t="s">
        <v>3</v>
      </c>
      <c r="B124" s="276" t="s">
        <v>56</v>
      </c>
      <c r="C124" s="276"/>
      <c r="D124" s="276"/>
      <c r="E124" s="276"/>
      <c r="F124" s="276"/>
      <c r="G124" s="276"/>
      <c r="H124" s="210"/>
      <c r="I124" s="210"/>
      <c r="J124" s="277">
        <f>J71</f>
        <v>2484.1872479040003</v>
      </c>
      <c r="K124" s="277"/>
      <c r="L124" s="11"/>
      <c r="M124" s="11"/>
    </row>
    <row r="125" spans="1:14" ht="15" customHeight="1" x14ac:dyDescent="0.25">
      <c r="A125" s="24" t="s">
        <v>4</v>
      </c>
      <c r="B125" s="276" t="s">
        <v>55</v>
      </c>
      <c r="C125" s="276"/>
      <c r="D125" s="276"/>
      <c r="E125" s="276"/>
      <c r="F125" s="276"/>
      <c r="G125" s="276"/>
      <c r="H125" s="210"/>
      <c r="I125" s="210"/>
      <c r="J125" s="277">
        <f>J81</f>
        <v>161.80828819999999</v>
      </c>
      <c r="K125" s="277"/>
      <c r="L125" s="11"/>
      <c r="M125" s="11"/>
    </row>
    <row r="126" spans="1:14" ht="15" customHeight="1" x14ac:dyDescent="0.25">
      <c r="A126" s="24" t="s">
        <v>5</v>
      </c>
      <c r="B126" s="276" t="s">
        <v>54</v>
      </c>
      <c r="C126" s="276"/>
      <c r="D126" s="276"/>
      <c r="E126" s="276"/>
      <c r="F126" s="276"/>
      <c r="G126" s="276"/>
      <c r="H126" s="210"/>
      <c r="I126" s="210"/>
      <c r="J126" s="277">
        <f>J100</f>
        <v>183.88207180488891</v>
      </c>
      <c r="K126" s="277"/>
      <c r="L126" s="11"/>
      <c r="M126" s="11"/>
    </row>
    <row r="127" spans="1:14" ht="15" customHeight="1" x14ac:dyDescent="0.25">
      <c r="A127" s="24" t="s">
        <v>11</v>
      </c>
      <c r="B127" s="276" t="s">
        <v>53</v>
      </c>
      <c r="C127" s="276"/>
      <c r="D127" s="276"/>
      <c r="E127" s="276"/>
      <c r="F127" s="276"/>
      <c r="G127" s="276"/>
      <c r="H127" s="210"/>
      <c r="I127" s="210"/>
      <c r="J127" s="277">
        <f>J108</f>
        <v>343.21749055555557</v>
      </c>
      <c r="K127" s="277"/>
      <c r="L127" s="11"/>
      <c r="M127" s="11"/>
    </row>
    <row r="128" spans="1:14" ht="15" customHeight="1" x14ac:dyDescent="0.25">
      <c r="A128" s="278" t="s">
        <v>52</v>
      </c>
      <c r="B128" s="278"/>
      <c r="C128" s="278"/>
      <c r="D128" s="278"/>
      <c r="E128" s="278"/>
      <c r="F128" s="278"/>
      <c r="G128" s="278"/>
      <c r="H128" s="39"/>
      <c r="I128" s="39"/>
      <c r="J128" s="289">
        <f>SUM(J123:K127)</f>
        <v>5551.0550984644451</v>
      </c>
      <c r="K128" s="289"/>
      <c r="L128" s="11"/>
      <c r="M128" s="11"/>
    </row>
    <row r="129" spans="1:13" ht="15" customHeight="1" x14ac:dyDescent="0.25">
      <c r="A129" s="24" t="s">
        <v>12</v>
      </c>
      <c r="B129" s="276" t="s">
        <v>51</v>
      </c>
      <c r="C129" s="276"/>
      <c r="D129" s="276"/>
      <c r="E129" s="276"/>
      <c r="F129" s="276"/>
      <c r="G129" s="276"/>
      <c r="H129" s="210"/>
      <c r="I129" s="210"/>
      <c r="J129" s="277">
        <f>K118</f>
        <v>1190.1462131107769</v>
      </c>
      <c r="K129" s="277"/>
      <c r="L129" s="11"/>
      <c r="M129" s="11"/>
    </row>
    <row r="130" spans="1:13" ht="15" customHeight="1" x14ac:dyDescent="0.25">
      <c r="A130" s="278" t="s">
        <v>50</v>
      </c>
      <c r="B130" s="278"/>
      <c r="C130" s="278"/>
      <c r="D130" s="278"/>
      <c r="E130" s="278"/>
      <c r="F130" s="278"/>
      <c r="G130" s="278"/>
      <c r="H130" s="220"/>
      <c r="I130" s="220"/>
      <c r="J130" s="279">
        <f>SUM(J128:K129)+J138</f>
        <v>6779.1743407308313</v>
      </c>
      <c r="K130" s="280"/>
      <c r="L130" s="11"/>
      <c r="M130" s="11"/>
    </row>
    <row r="131" spans="1:13" ht="15" hidden="1" customHeight="1" x14ac:dyDescent="0.25">
      <c r="K131" s="207">
        <f>J130</f>
        <v>6779.1743407308313</v>
      </c>
      <c r="M131" s="46"/>
    </row>
    <row r="132" spans="1:13" ht="15" customHeight="1" x14ac:dyDescent="0.25">
      <c r="A132" s="285" t="s">
        <v>150</v>
      </c>
      <c r="B132" s="285"/>
      <c r="C132" s="285"/>
      <c r="D132" s="285"/>
      <c r="E132" s="285"/>
      <c r="F132" s="285"/>
      <c r="G132" s="285"/>
      <c r="H132" s="285"/>
      <c r="I132" s="285"/>
      <c r="J132" s="285"/>
      <c r="K132" s="285"/>
    </row>
    <row r="133" spans="1:13" ht="15" customHeight="1" x14ac:dyDescent="0.25">
      <c r="A133" s="286" t="s">
        <v>282</v>
      </c>
      <c r="B133" s="287"/>
      <c r="C133" s="287"/>
      <c r="D133" s="287"/>
      <c r="E133" s="287"/>
      <c r="F133" s="287"/>
      <c r="G133" s="287"/>
      <c r="H133" s="287"/>
      <c r="I133" s="287"/>
      <c r="J133" s="287"/>
      <c r="K133" s="288"/>
      <c r="M133" s="52"/>
    </row>
    <row r="134" spans="1:13" ht="15" customHeight="1" x14ac:dyDescent="0.25">
      <c r="A134" s="278" t="s">
        <v>151</v>
      </c>
      <c r="B134" s="278"/>
      <c r="C134" s="278"/>
      <c r="D134" s="278"/>
      <c r="E134" s="278"/>
      <c r="F134" s="278"/>
      <c r="G134" s="278"/>
      <c r="H134" s="281" t="s">
        <v>319</v>
      </c>
      <c r="I134" s="282"/>
      <c r="J134" s="278" t="s">
        <v>10</v>
      </c>
      <c r="K134" s="278"/>
      <c r="L134" s="11"/>
      <c r="M134" s="11"/>
    </row>
    <row r="135" spans="1:13" ht="15" customHeight="1" x14ac:dyDescent="0.25">
      <c r="A135" s="24" t="s">
        <v>2</v>
      </c>
      <c r="B135" s="276" t="s">
        <v>278</v>
      </c>
      <c r="C135" s="276"/>
      <c r="D135" s="276"/>
      <c r="E135" s="276"/>
      <c r="F135" s="276"/>
      <c r="G135" s="276"/>
      <c r="H135" s="283">
        <v>8.3299999999999999E-2</v>
      </c>
      <c r="I135" s="284"/>
      <c r="J135" s="277">
        <f>K38</f>
        <v>198.084068</v>
      </c>
      <c r="K135" s="277"/>
      <c r="L135" s="11"/>
      <c r="M135" s="11"/>
    </row>
    <row r="136" spans="1:13" ht="15" customHeight="1" x14ac:dyDescent="0.25">
      <c r="A136" s="24" t="s">
        <v>3</v>
      </c>
      <c r="B136" s="276" t="s">
        <v>279</v>
      </c>
      <c r="C136" s="276"/>
      <c r="D136" s="276"/>
      <c r="E136" s="276"/>
      <c r="F136" s="276"/>
      <c r="G136" s="276"/>
      <c r="H136" s="283">
        <v>0.121</v>
      </c>
      <c r="I136" s="284"/>
      <c r="J136" s="277">
        <f>K39</f>
        <v>287.73316</v>
      </c>
      <c r="K136" s="277"/>
      <c r="L136" s="11"/>
      <c r="M136" s="11"/>
    </row>
    <row r="137" spans="1:13" ht="15" customHeight="1" x14ac:dyDescent="0.25">
      <c r="A137" s="24" t="s">
        <v>4</v>
      </c>
      <c r="B137" s="276" t="s">
        <v>320</v>
      </c>
      <c r="C137" s="276"/>
      <c r="D137" s="276"/>
      <c r="E137" s="276"/>
      <c r="F137" s="276"/>
      <c r="G137" s="276"/>
      <c r="H137" s="283">
        <v>0.04</v>
      </c>
      <c r="I137" s="284"/>
      <c r="J137" s="277">
        <f>(J77+J80)*(J26+J27+J29)</f>
        <v>95.118400000000008</v>
      </c>
      <c r="K137" s="277"/>
      <c r="L137" s="11"/>
      <c r="M137" s="11"/>
    </row>
    <row r="138" spans="1:13" ht="15" customHeight="1" x14ac:dyDescent="0.25">
      <c r="A138" s="24" t="s">
        <v>5</v>
      </c>
      <c r="B138" s="276" t="s">
        <v>280</v>
      </c>
      <c r="C138" s="276"/>
      <c r="D138" s="276"/>
      <c r="E138" s="276"/>
      <c r="F138" s="276"/>
      <c r="G138" s="276"/>
      <c r="H138" s="283">
        <f>(0.368-0.03+J45)*0.2124</f>
        <v>7.8163200000000002E-2</v>
      </c>
      <c r="I138" s="284"/>
      <c r="J138" s="277">
        <f>(J51*(J40+0.81%))*K40</f>
        <v>37.973029155609602</v>
      </c>
      <c r="K138" s="277"/>
      <c r="L138" s="11"/>
      <c r="M138" s="11"/>
    </row>
    <row r="139" spans="1:13" ht="15" customHeight="1" x14ac:dyDescent="0.25">
      <c r="A139" s="278" t="s">
        <v>152</v>
      </c>
      <c r="B139" s="278"/>
      <c r="C139" s="278"/>
      <c r="D139" s="278"/>
      <c r="E139" s="278"/>
      <c r="F139" s="278"/>
      <c r="G139" s="278"/>
      <c r="H139" s="235" t="s">
        <v>323</v>
      </c>
      <c r="I139" s="236">
        <f>SUM(H135,H136,H137,H138)</f>
        <v>0.32246320000000001</v>
      </c>
      <c r="J139" s="279">
        <f>SUM(J135:K138)</f>
        <v>618.9086571556096</v>
      </c>
      <c r="K139" s="280"/>
      <c r="L139" s="11"/>
      <c r="M139" s="11"/>
    </row>
    <row r="140" spans="1:13" ht="15" customHeight="1" x14ac:dyDescent="0.25">
      <c r="K140" s="206">
        <f>J139</f>
        <v>618.9086571556096</v>
      </c>
    </row>
  </sheetData>
  <mergeCells count="196">
    <mergeCell ref="A1:K1"/>
    <mergeCell ref="A2:K2"/>
    <mergeCell ref="C3:K3"/>
    <mergeCell ref="C4:D4"/>
    <mergeCell ref="A6:K6"/>
    <mergeCell ref="A7:K7"/>
    <mergeCell ref="J30:K30"/>
    <mergeCell ref="G11:K11"/>
    <mergeCell ref="A12:K12"/>
    <mergeCell ref="B13:G13"/>
    <mergeCell ref="J13:K13"/>
    <mergeCell ref="B14:G14"/>
    <mergeCell ref="J14:K14"/>
    <mergeCell ref="B8:F8"/>
    <mergeCell ref="G8:K8"/>
    <mergeCell ref="B9:F9"/>
    <mergeCell ref="G9:K9"/>
    <mergeCell ref="B10:F10"/>
    <mergeCell ref="G10:K10"/>
    <mergeCell ref="B20:G20"/>
    <mergeCell ref="J20:K20"/>
    <mergeCell ref="B21:G21"/>
    <mergeCell ref="J21:K21"/>
    <mergeCell ref="B22:G22"/>
    <mergeCell ref="J22:K22"/>
    <mergeCell ref="C15:K15"/>
    <mergeCell ref="A16:K16"/>
    <mergeCell ref="A17:K17"/>
    <mergeCell ref="A18:K18"/>
    <mergeCell ref="B19:G19"/>
    <mergeCell ref="J19:K19"/>
    <mergeCell ref="J27:K27"/>
    <mergeCell ref="F28:G28"/>
    <mergeCell ref="J28:K28"/>
    <mergeCell ref="B29:G29"/>
    <mergeCell ref="J29:K29"/>
    <mergeCell ref="B31:G31"/>
    <mergeCell ref="J31:K31"/>
    <mergeCell ref="B23:G23"/>
    <mergeCell ref="J23:K23"/>
    <mergeCell ref="A24:K24"/>
    <mergeCell ref="B25:G25"/>
    <mergeCell ref="J25:K25"/>
    <mergeCell ref="B26:G26"/>
    <mergeCell ref="J26:K26"/>
    <mergeCell ref="A34:G34"/>
    <mergeCell ref="J34:K34"/>
    <mergeCell ref="A35:K35"/>
    <mergeCell ref="A36:K36"/>
    <mergeCell ref="B37:G37"/>
    <mergeCell ref="B38:G38"/>
    <mergeCell ref="B32:G32"/>
    <mergeCell ref="J32:K32"/>
    <mergeCell ref="M32:U32"/>
    <mergeCell ref="B33:G33"/>
    <mergeCell ref="J33:K33"/>
    <mergeCell ref="M33:Q33"/>
    <mergeCell ref="B46:G46"/>
    <mergeCell ref="B47:G47"/>
    <mergeCell ref="B48:G48"/>
    <mergeCell ref="B49:G49"/>
    <mergeCell ref="B50:G50"/>
    <mergeCell ref="A51:G51"/>
    <mergeCell ref="B39:G39"/>
    <mergeCell ref="A41:K41"/>
    <mergeCell ref="B42:G42"/>
    <mergeCell ref="B43:G43"/>
    <mergeCell ref="B44:G44"/>
    <mergeCell ref="B45:G45"/>
    <mergeCell ref="M56:N56"/>
    <mergeCell ref="M57:N57"/>
    <mergeCell ref="B58:C58"/>
    <mergeCell ref="J58:K58"/>
    <mergeCell ref="A52:K52"/>
    <mergeCell ref="B53:G53"/>
    <mergeCell ref="J53:K53"/>
    <mergeCell ref="M53:N53"/>
    <mergeCell ref="A54:A55"/>
    <mergeCell ref="B54:B55"/>
    <mergeCell ref="J54:K54"/>
    <mergeCell ref="M54:N54"/>
    <mergeCell ref="J55:K55"/>
    <mergeCell ref="M55:N55"/>
    <mergeCell ref="B59:G59"/>
    <mergeCell ref="J59:K59"/>
    <mergeCell ref="B60:G60"/>
    <mergeCell ref="J60:K60"/>
    <mergeCell ref="J62:K62"/>
    <mergeCell ref="A63:G63"/>
    <mergeCell ref="J63:K63"/>
    <mergeCell ref="A56:A57"/>
    <mergeCell ref="B56:C57"/>
    <mergeCell ref="J56:K57"/>
    <mergeCell ref="B69:G69"/>
    <mergeCell ref="J69:K69"/>
    <mergeCell ref="B70:G70"/>
    <mergeCell ref="J70:K70"/>
    <mergeCell ref="A71:G71"/>
    <mergeCell ref="J71:K71"/>
    <mergeCell ref="A64:K64"/>
    <mergeCell ref="A65:K65"/>
    <mergeCell ref="A66:K66"/>
    <mergeCell ref="B67:G67"/>
    <mergeCell ref="J67:K67"/>
    <mergeCell ref="B68:G68"/>
    <mergeCell ref="J68:K68"/>
    <mergeCell ref="M77:AB77"/>
    <mergeCell ref="B78:G78"/>
    <mergeCell ref="M79:P79"/>
    <mergeCell ref="M80:Q80"/>
    <mergeCell ref="J81:K81"/>
    <mergeCell ref="A82:K82"/>
    <mergeCell ref="M82:AB82"/>
    <mergeCell ref="A72:K72"/>
    <mergeCell ref="A73:K73"/>
    <mergeCell ref="M73:P73"/>
    <mergeCell ref="M74:P74"/>
    <mergeCell ref="B75:G75"/>
    <mergeCell ref="M75:AC75"/>
    <mergeCell ref="A95:K95"/>
    <mergeCell ref="A96:K96"/>
    <mergeCell ref="A97:K97"/>
    <mergeCell ref="J98:K98"/>
    <mergeCell ref="J99:K99"/>
    <mergeCell ref="J100:K100"/>
    <mergeCell ref="A83:K83"/>
    <mergeCell ref="A84:K84"/>
    <mergeCell ref="M84:AP84"/>
    <mergeCell ref="B85:G85"/>
    <mergeCell ref="B92:G92"/>
    <mergeCell ref="A94:G94"/>
    <mergeCell ref="B105:G105"/>
    <mergeCell ref="J105:K105"/>
    <mergeCell ref="B106:G106"/>
    <mergeCell ref="J106:K106"/>
    <mergeCell ref="B107:G107"/>
    <mergeCell ref="J107:K107"/>
    <mergeCell ref="A101:K101"/>
    <mergeCell ref="A102:K102"/>
    <mergeCell ref="B103:G103"/>
    <mergeCell ref="J103:K103"/>
    <mergeCell ref="B104:G104"/>
    <mergeCell ref="J104:K104"/>
    <mergeCell ref="B113:G113"/>
    <mergeCell ref="B114:G114"/>
    <mergeCell ref="A115:B115"/>
    <mergeCell ref="C115:C116"/>
    <mergeCell ref="A116:B116"/>
    <mergeCell ref="A117:B117"/>
    <mergeCell ref="A108:G108"/>
    <mergeCell ref="J108:K108"/>
    <mergeCell ref="A109:K109"/>
    <mergeCell ref="A110:K110"/>
    <mergeCell ref="B111:G111"/>
    <mergeCell ref="B112:G112"/>
    <mergeCell ref="B123:G123"/>
    <mergeCell ref="J123:K123"/>
    <mergeCell ref="B124:G124"/>
    <mergeCell ref="J124:K124"/>
    <mergeCell ref="B125:G125"/>
    <mergeCell ref="J125:K125"/>
    <mergeCell ref="A118:G118"/>
    <mergeCell ref="A119:K119"/>
    <mergeCell ref="A120:K120"/>
    <mergeCell ref="A121:K121"/>
    <mergeCell ref="A122:G122"/>
    <mergeCell ref="J122:K122"/>
    <mergeCell ref="B129:G129"/>
    <mergeCell ref="J129:K129"/>
    <mergeCell ref="A130:G130"/>
    <mergeCell ref="J130:K130"/>
    <mergeCell ref="A132:K132"/>
    <mergeCell ref="A133:K133"/>
    <mergeCell ref="B126:G126"/>
    <mergeCell ref="J126:K126"/>
    <mergeCell ref="B127:G127"/>
    <mergeCell ref="J127:K127"/>
    <mergeCell ref="A128:G128"/>
    <mergeCell ref="J128:K128"/>
    <mergeCell ref="B137:G137"/>
    <mergeCell ref="J137:K137"/>
    <mergeCell ref="B138:G138"/>
    <mergeCell ref="J138:K138"/>
    <mergeCell ref="A139:G139"/>
    <mergeCell ref="J139:K139"/>
    <mergeCell ref="A134:G134"/>
    <mergeCell ref="J134:K134"/>
    <mergeCell ref="B135:G135"/>
    <mergeCell ref="J135:K135"/>
    <mergeCell ref="B136:G136"/>
    <mergeCell ref="J136:K136"/>
    <mergeCell ref="H134:I134"/>
    <mergeCell ref="H135:I135"/>
    <mergeCell ref="H136:I136"/>
    <mergeCell ref="H137:I137"/>
    <mergeCell ref="H138:I138"/>
  </mergeCells>
  <dataValidations disablePrompts="1" count="1">
    <dataValidation allowBlank="1" sqref="A1 A120" xr:uid="{A8DA969F-F5F5-4E15-B8C8-86361F9F4898}"/>
  </dataValidations>
  <printOptions horizontalCentered="1"/>
  <pageMargins left="7.874015748031496E-2" right="7.874015748031496E-2" top="1.7716535433070868" bottom="1.3779527559055118" header="0.31496062992125984" footer="0.31496062992125984"/>
  <pageSetup paperSize="9" scale="83" orientation="portrait" r:id="rId1"/>
  <rowBreaks count="2" manualBreakCount="2">
    <brk id="48" max="8" man="1"/>
    <brk id="101"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FB4FD-6625-45FB-9EF5-7D1717621EDF}">
  <sheetPr>
    <tabColor theme="9" tint="0.59999389629810485"/>
  </sheetPr>
  <dimension ref="A1:AP140"/>
  <sheetViews>
    <sheetView showGridLines="0" topLeftCell="A79" zoomScale="120" zoomScaleNormal="120" zoomScaleSheetLayoutView="100" workbookViewId="0">
      <selection activeCell="J93" sqref="J93"/>
    </sheetView>
  </sheetViews>
  <sheetFormatPr defaultRowHeight="15" customHeight="1" x14ac:dyDescent="0.25"/>
  <cols>
    <col min="1" max="1" width="3.140625" style="8" customWidth="1"/>
    <col min="2" max="2" width="16.5703125" style="7" customWidth="1"/>
    <col min="3" max="3" width="17.85546875" style="7" customWidth="1"/>
    <col min="4" max="4" width="11.85546875" style="7" customWidth="1"/>
    <col min="5" max="5" width="12.85546875" style="7" bestFit="1" customWidth="1"/>
    <col min="6" max="6" width="12.140625" style="7" customWidth="1"/>
    <col min="7" max="7" width="14.42578125" style="7" bestFit="1" customWidth="1"/>
    <col min="8" max="9" width="14.42578125" style="7" customWidth="1"/>
    <col min="10" max="10" width="10.28515625" style="7" customWidth="1"/>
    <col min="11" max="11" width="17.7109375" style="7" bestFit="1" customWidth="1"/>
    <col min="12" max="12" width="8.42578125" style="6" customWidth="1"/>
    <col min="13" max="13" width="23.7109375" style="6" customWidth="1"/>
    <col min="14" max="14" width="17.140625" style="6" customWidth="1"/>
    <col min="15" max="15" width="11.28515625" style="6" bestFit="1" customWidth="1"/>
    <col min="16" max="16" width="10.5703125" style="6" bestFit="1" customWidth="1"/>
    <col min="17" max="18" width="9.140625" style="6"/>
    <col min="19" max="19" width="10" style="6" bestFit="1" customWidth="1"/>
    <col min="20" max="16384" width="9.140625" style="6"/>
  </cols>
  <sheetData>
    <row r="1" spans="1:13" ht="15" customHeight="1" x14ac:dyDescent="0.25">
      <c r="A1" s="380" t="s">
        <v>0</v>
      </c>
      <c r="B1" s="380"/>
      <c r="C1" s="380"/>
      <c r="D1" s="380"/>
      <c r="E1" s="380"/>
      <c r="F1" s="380"/>
      <c r="G1" s="380"/>
      <c r="H1" s="380"/>
      <c r="I1" s="380"/>
      <c r="J1" s="380"/>
      <c r="K1" s="380"/>
      <c r="L1" s="11"/>
      <c r="M1" s="11"/>
    </row>
    <row r="2" spans="1:13" ht="15" customHeight="1" x14ac:dyDescent="0.25">
      <c r="A2" s="309"/>
      <c r="B2" s="309"/>
      <c r="C2" s="309"/>
      <c r="D2" s="309"/>
      <c r="E2" s="309"/>
      <c r="F2" s="309"/>
      <c r="G2" s="309"/>
      <c r="H2" s="309"/>
      <c r="I2" s="309"/>
      <c r="J2" s="309"/>
      <c r="K2" s="309"/>
      <c r="L2" s="11"/>
      <c r="M2" s="11"/>
    </row>
    <row r="3" spans="1:13" ht="15" customHeight="1" x14ac:dyDescent="0.25">
      <c r="A3" s="15"/>
      <c r="B3" s="16" t="s">
        <v>1</v>
      </c>
      <c r="C3" s="381"/>
      <c r="D3" s="381"/>
      <c r="E3" s="381"/>
      <c r="F3" s="381"/>
      <c r="G3" s="381"/>
      <c r="H3" s="381"/>
      <c r="I3" s="381"/>
      <c r="J3" s="381"/>
      <c r="K3" s="381"/>
      <c r="L3" s="11"/>
      <c r="M3" s="11"/>
    </row>
    <row r="4" spans="1:13" ht="15" customHeight="1" x14ac:dyDescent="0.25">
      <c r="A4" s="15"/>
      <c r="B4" s="17" t="s">
        <v>125</v>
      </c>
      <c r="C4" s="382"/>
      <c r="D4" s="382"/>
      <c r="E4" s="17"/>
      <c r="F4" s="17"/>
      <c r="G4" s="17"/>
      <c r="H4" s="17"/>
      <c r="I4" s="17"/>
      <c r="J4" s="17"/>
      <c r="K4" s="17"/>
      <c r="L4" s="11"/>
      <c r="M4" s="11"/>
    </row>
    <row r="5" spans="1:13" ht="15" customHeight="1" x14ac:dyDescent="0.25">
      <c r="A5" s="15"/>
      <c r="B5" s="16" t="s">
        <v>124</v>
      </c>
      <c r="C5" s="18"/>
      <c r="D5" s="17"/>
      <c r="E5" s="17"/>
      <c r="F5" s="17"/>
      <c r="G5" s="17"/>
      <c r="H5" s="17"/>
      <c r="I5" s="17"/>
      <c r="J5" s="17"/>
      <c r="K5" s="17"/>
      <c r="L5" s="11"/>
      <c r="M5" s="11"/>
    </row>
    <row r="6" spans="1:13" ht="4.5" customHeight="1" x14ac:dyDescent="0.25">
      <c r="A6" s="309"/>
      <c r="B6" s="309"/>
      <c r="C6" s="309"/>
      <c r="D6" s="309"/>
      <c r="E6" s="309"/>
      <c r="F6" s="309"/>
      <c r="G6" s="309"/>
      <c r="H6" s="309"/>
      <c r="I6" s="309"/>
      <c r="J6" s="309"/>
      <c r="K6" s="309"/>
      <c r="L6" s="11"/>
      <c r="M6" s="11"/>
    </row>
    <row r="7" spans="1:13" ht="15" customHeight="1" x14ac:dyDescent="0.25">
      <c r="A7" s="377" t="s">
        <v>123</v>
      </c>
      <c r="B7" s="377"/>
      <c r="C7" s="377"/>
      <c r="D7" s="377"/>
      <c r="E7" s="377"/>
      <c r="F7" s="377"/>
      <c r="G7" s="377"/>
      <c r="H7" s="377"/>
      <c r="I7" s="377"/>
      <c r="J7" s="377"/>
      <c r="K7" s="377"/>
      <c r="L7" s="11"/>
      <c r="M7" s="11"/>
    </row>
    <row r="8" spans="1:13" ht="15" customHeight="1" x14ac:dyDescent="0.25">
      <c r="A8" s="19" t="s">
        <v>2</v>
      </c>
      <c r="B8" s="371" t="s">
        <v>122</v>
      </c>
      <c r="C8" s="371"/>
      <c r="D8" s="371"/>
      <c r="E8" s="371"/>
      <c r="F8" s="371"/>
      <c r="G8" s="385"/>
      <c r="H8" s="385"/>
      <c r="I8" s="385"/>
      <c r="J8" s="383"/>
      <c r="K8" s="383"/>
      <c r="L8" s="11"/>
      <c r="M8" s="11"/>
    </row>
    <row r="9" spans="1:13" ht="15" customHeight="1" x14ac:dyDescent="0.25">
      <c r="A9" s="19" t="s">
        <v>3</v>
      </c>
      <c r="B9" s="371" t="s">
        <v>121</v>
      </c>
      <c r="C9" s="371"/>
      <c r="D9" s="371"/>
      <c r="E9" s="371"/>
      <c r="F9" s="371"/>
      <c r="G9" s="386" t="s">
        <v>120</v>
      </c>
      <c r="H9" s="387"/>
      <c r="I9" s="387"/>
      <c r="J9" s="387"/>
      <c r="K9" s="388"/>
      <c r="L9" s="11"/>
      <c r="M9" s="11"/>
    </row>
    <row r="10" spans="1:13" ht="15" customHeight="1" x14ac:dyDescent="0.25">
      <c r="A10" s="20" t="s">
        <v>4</v>
      </c>
      <c r="B10" s="389" t="s">
        <v>119</v>
      </c>
      <c r="C10" s="390"/>
      <c r="D10" s="390"/>
      <c r="E10" s="390"/>
      <c r="F10" s="390"/>
      <c r="G10" s="383" t="s">
        <v>165</v>
      </c>
      <c r="H10" s="383"/>
      <c r="I10" s="383"/>
      <c r="J10" s="383"/>
      <c r="K10" s="383"/>
      <c r="L10" s="11"/>
      <c r="M10" s="11"/>
    </row>
    <row r="11" spans="1:13" ht="15" customHeight="1" x14ac:dyDescent="0.25">
      <c r="A11" s="19" t="s">
        <v>5</v>
      </c>
      <c r="B11" s="21" t="s">
        <v>6</v>
      </c>
      <c r="C11" s="22"/>
      <c r="D11" s="22"/>
      <c r="E11" s="22"/>
      <c r="F11" s="22"/>
      <c r="G11" s="383">
        <v>30</v>
      </c>
      <c r="H11" s="383"/>
      <c r="I11" s="383"/>
      <c r="J11" s="383"/>
      <c r="K11" s="383"/>
      <c r="L11" s="11"/>
      <c r="M11" s="11"/>
    </row>
    <row r="12" spans="1:13" ht="15" customHeight="1" x14ac:dyDescent="0.25">
      <c r="A12" s="377" t="s">
        <v>7</v>
      </c>
      <c r="B12" s="377"/>
      <c r="C12" s="377"/>
      <c r="D12" s="377"/>
      <c r="E12" s="377"/>
      <c r="F12" s="377"/>
      <c r="G12" s="377"/>
      <c r="H12" s="377"/>
      <c r="I12" s="377"/>
      <c r="J12" s="377"/>
      <c r="K12" s="377"/>
      <c r="L12" s="11"/>
      <c r="M12" s="11"/>
    </row>
    <row r="13" spans="1:13" ht="15" customHeight="1" x14ac:dyDescent="0.25">
      <c r="A13" s="19">
        <v>1</v>
      </c>
      <c r="B13" s="371" t="s">
        <v>8</v>
      </c>
      <c r="C13" s="371"/>
      <c r="D13" s="371"/>
      <c r="E13" s="371"/>
      <c r="F13" s="371"/>
      <c r="G13" s="371"/>
      <c r="H13" s="225"/>
      <c r="I13" s="225"/>
      <c r="J13" s="383" t="s">
        <v>9</v>
      </c>
      <c r="K13" s="383"/>
      <c r="L13" s="11"/>
      <c r="M13" s="11"/>
    </row>
    <row r="14" spans="1:13" ht="15" customHeight="1" x14ac:dyDescent="0.25">
      <c r="A14" s="19">
        <v>2</v>
      </c>
      <c r="B14" s="371" t="s">
        <v>118</v>
      </c>
      <c r="C14" s="371"/>
      <c r="D14" s="371"/>
      <c r="E14" s="371"/>
      <c r="F14" s="371"/>
      <c r="G14" s="371"/>
      <c r="H14" s="225"/>
      <c r="I14" s="225"/>
      <c r="J14" s="384">
        <v>1</v>
      </c>
      <c r="K14" s="384"/>
      <c r="L14" s="11"/>
      <c r="M14" s="11"/>
    </row>
    <row r="15" spans="1:13" ht="15" customHeight="1" x14ac:dyDescent="0.25">
      <c r="A15" s="19">
        <v>3</v>
      </c>
      <c r="B15" s="21" t="s">
        <v>117</v>
      </c>
      <c r="C15" s="376" t="s">
        <v>178</v>
      </c>
      <c r="D15" s="376"/>
      <c r="E15" s="376"/>
      <c r="F15" s="376"/>
      <c r="G15" s="376"/>
      <c r="H15" s="376"/>
      <c r="I15" s="376"/>
      <c r="J15" s="376"/>
      <c r="K15" s="376"/>
      <c r="L15" s="11"/>
      <c r="M15" s="11"/>
    </row>
    <row r="16" spans="1:13" ht="15" customHeight="1" x14ac:dyDescent="0.25">
      <c r="A16" s="309"/>
      <c r="B16" s="309"/>
      <c r="C16" s="309"/>
      <c r="D16" s="309"/>
      <c r="E16" s="309"/>
      <c r="F16" s="309"/>
      <c r="G16" s="309"/>
      <c r="H16" s="309"/>
      <c r="I16" s="309"/>
      <c r="J16" s="309"/>
      <c r="K16" s="309"/>
      <c r="L16" s="11"/>
      <c r="M16" s="11"/>
    </row>
    <row r="17" spans="1:21" ht="15" customHeight="1" x14ac:dyDescent="0.25">
      <c r="A17" s="377" t="s">
        <v>116</v>
      </c>
      <c r="B17" s="377"/>
      <c r="C17" s="377"/>
      <c r="D17" s="377"/>
      <c r="E17" s="377"/>
      <c r="F17" s="377"/>
      <c r="G17" s="377"/>
      <c r="H17" s="377"/>
      <c r="I17" s="377"/>
      <c r="J17" s="377"/>
      <c r="K17" s="377"/>
      <c r="L17" s="11"/>
      <c r="M17" s="11"/>
    </row>
    <row r="18" spans="1:21" ht="15" customHeight="1" x14ac:dyDescent="0.25">
      <c r="A18" s="308" t="s">
        <v>115</v>
      </c>
      <c r="B18" s="308"/>
      <c r="C18" s="308"/>
      <c r="D18" s="308"/>
      <c r="E18" s="308"/>
      <c r="F18" s="308"/>
      <c r="G18" s="308"/>
      <c r="H18" s="308"/>
      <c r="I18" s="308"/>
      <c r="J18" s="308"/>
      <c r="K18" s="308"/>
      <c r="L18" s="11"/>
      <c r="M18" s="11"/>
    </row>
    <row r="19" spans="1:21" x14ac:dyDescent="0.25">
      <c r="A19" s="23">
        <v>1</v>
      </c>
      <c r="B19" s="352" t="s">
        <v>114</v>
      </c>
      <c r="C19" s="352"/>
      <c r="D19" s="352"/>
      <c r="E19" s="352"/>
      <c r="F19" s="352"/>
      <c r="G19" s="352"/>
      <c r="H19" s="221"/>
      <c r="I19" s="221"/>
      <c r="J19" s="374" t="s">
        <v>281</v>
      </c>
      <c r="K19" s="375"/>
      <c r="L19" s="11"/>
      <c r="M19" s="11"/>
    </row>
    <row r="20" spans="1:21" ht="15" customHeight="1" x14ac:dyDescent="0.25">
      <c r="A20" s="23">
        <v>2</v>
      </c>
      <c r="B20" s="352" t="s">
        <v>113</v>
      </c>
      <c r="C20" s="352"/>
      <c r="D20" s="352"/>
      <c r="E20" s="352"/>
      <c r="F20" s="352"/>
      <c r="G20" s="352"/>
      <c r="H20" s="221"/>
      <c r="I20" s="221"/>
      <c r="J20" s="391">
        <v>517330</v>
      </c>
      <c r="K20" s="392"/>
      <c r="L20" s="11"/>
    </row>
    <row r="21" spans="1:21" ht="15" customHeight="1" x14ac:dyDescent="0.25">
      <c r="A21" s="23">
        <v>3</v>
      </c>
      <c r="B21" s="352" t="s">
        <v>112</v>
      </c>
      <c r="C21" s="352"/>
      <c r="D21" s="352"/>
      <c r="E21" s="352"/>
      <c r="F21" s="352"/>
      <c r="G21" s="352"/>
      <c r="H21" s="221"/>
      <c r="I21" s="221"/>
      <c r="J21" s="393">
        <f>1829.2</f>
        <v>1829.2</v>
      </c>
      <c r="K21" s="394"/>
      <c r="L21" s="11"/>
      <c r="M21" s="193"/>
    </row>
    <row r="22" spans="1:21" x14ac:dyDescent="0.25">
      <c r="A22" s="23">
        <v>4</v>
      </c>
      <c r="B22" s="352" t="s">
        <v>111</v>
      </c>
      <c r="C22" s="352"/>
      <c r="D22" s="352"/>
      <c r="E22" s="352"/>
      <c r="F22" s="352"/>
      <c r="G22" s="352"/>
      <c r="H22" s="221"/>
      <c r="I22" s="221"/>
      <c r="J22" s="374"/>
      <c r="K22" s="375"/>
      <c r="L22" s="11"/>
      <c r="M22" s="11"/>
    </row>
    <row r="23" spans="1:21" ht="15" customHeight="1" x14ac:dyDescent="0.25">
      <c r="A23" s="23">
        <v>5</v>
      </c>
      <c r="B23" s="352" t="s">
        <v>110</v>
      </c>
      <c r="C23" s="352"/>
      <c r="D23" s="352"/>
      <c r="E23" s="352"/>
      <c r="F23" s="352"/>
      <c r="G23" s="352"/>
      <c r="H23" s="221"/>
      <c r="I23" s="221"/>
      <c r="J23" s="367">
        <v>45292</v>
      </c>
      <c r="K23" s="368"/>
      <c r="L23" s="11"/>
      <c r="M23" s="11"/>
    </row>
    <row r="24" spans="1:21" ht="15" customHeight="1" x14ac:dyDescent="0.25">
      <c r="A24" s="286" t="s">
        <v>109</v>
      </c>
      <c r="B24" s="287"/>
      <c r="C24" s="287"/>
      <c r="D24" s="287"/>
      <c r="E24" s="287"/>
      <c r="F24" s="287"/>
      <c r="G24" s="287"/>
      <c r="H24" s="287"/>
      <c r="I24" s="287"/>
      <c r="J24" s="287"/>
      <c r="K24" s="288"/>
      <c r="L24" s="11"/>
      <c r="M24" s="11"/>
    </row>
    <row r="25" spans="1:21" ht="15" customHeight="1" x14ac:dyDescent="0.25">
      <c r="A25" s="40">
        <v>1</v>
      </c>
      <c r="B25" s="307" t="s">
        <v>108</v>
      </c>
      <c r="C25" s="307"/>
      <c r="D25" s="307"/>
      <c r="E25" s="307"/>
      <c r="F25" s="307"/>
      <c r="G25" s="307"/>
      <c r="H25" s="218"/>
      <c r="I25" s="218"/>
      <c r="J25" s="369" t="s">
        <v>10</v>
      </c>
      <c r="K25" s="370"/>
      <c r="L25" s="11"/>
      <c r="M25" s="11"/>
    </row>
    <row r="26" spans="1:21" ht="15" customHeight="1" x14ac:dyDescent="0.25">
      <c r="A26" s="23" t="s">
        <v>2</v>
      </c>
      <c r="B26" s="371" t="s">
        <v>164</v>
      </c>
      <c r="C26" s="371"/>
      <c r="D26" s="371"/>
      <c r="E26" s="371"/>
      <c r="F26" s="371"/>
      <c r="G26" s="371"/>
      <c r="H26" s="226"/>
      <c r="I26" s="226"/>
      <c r="J26" s="372">
        <f>J21</f>
        <v>1829.2</v>
      </c>
      <c r="K26" s="373"/>
      <c r="L26" s="11"/>
      <c r="M26" s="11"/>
    </row>
    <row r="27" spans="1:21" ht="15" customHeight="1" x14ac:dyDescent="0.25">
      <c r="A27" s="24" t="s">
        <v>3</v>
      </c>
      <c r="B27" s="25" t="s">
        <v>107</v>
      </c>
      <c r="C27" s="26"/>
      <c r="D27" s="27" t="s">
        <v>105</v>
      </c>
      <c r="E27" s="27" t="s">
        <v>87</v>
      </c>
      <c r="F27" s="26"/>
      <c r="G27" s="28"/>
      <c r="H27" s="26"/>
      <c r="I27" s="26"/>
      <c r="J27" s="372">
        <f>IF(E27="N",0,J26*0.3)</f>
        <v>548.76</v>
      </c>
      <c r="K27" s="373"/>
      <c r="L27" s="11"/>
      <c r="M27" s="11"/>
    </row>
    <row r="28" spans="1:21" ht="15" customHeight="1" x14ac:dyDescent="0.25">
      <c r="A28" s="24" t="s">
        <v>4</v>
      </c>
      <c r="B28" s="25" t="s">
        <v>106</v>
      </c>
      <c r="C28" s="26"/>
      <c r="D28" s="27" t="s">
        <v>105</v>
      </c>
      <c r="E28" s="27" t="s">
        <v>104</v>
      </c>
      <c r="F28" s="378"/>
      <c r="G28" s="379"/>
      <c r="H28" s="227"/>
      <c r="I28" s="227"/>
      <c r="J28" s="358">
        <v>0</v>
      </c>
      <c r="K28" s="359"/>
      <c r="L28" s="11"/>
      <c r="M28" s="11"/>
      <c r="P28" s="54"/>
    </row>
    <row r="29" spans="1:21" ht="15" customHeight="1" x14ac:dyDescent="0.25">
      <c r="A29" s="24" t="s">
        <v>5</v>
      </c>
      <c r="B29" s="361" t="s">
        <v>305</v>
      </c>
      <c r="C29" s="362"/>
      <c r="D29" s="362"/>
      <c r="E29" s="362"/>
      <c r="F29" s="362"/>
      <c r="G29" s="363"/>
      <c r="H29" s="195"/>
      <c r="I29" s="195"/>
      <c r="J29" s="358">
        <v>0</v>
      </c>
      <c r="K29" s="359"/>
      <c r="L29" s="11"/>
      <c r="M29" s="11"/>
      <c r="P29" s="54"/>
    </row>
    <row r="30" spans="1:21" ht="15" customHeight="1" x14ac:dyDescent="0.25">
      <c r="A30" s="23" t="s">
        <v>11</v>
      </c>
      <c r="B30" s="361" t="s">
        <v>102</v>
      </c>
      <c r="C30" s="362"/>
      <c r="D30" s="362"/>
      <c r="E30" s="362"/>
      <c r="F30" s="362"/>
      <c r="G30" s="363"/>
      <c r="H30" s="195"/>
      <c r="I30" s="195"/>
      <c r="J30" s="358">
        <v>0</v>
      </c>
      <c r="K30" s="359"/>
      <c r="L30" s="11"/>
      <c r="M30" s="11"/>
    </row>
    <row r="31" spans="1:21" ht="15" customHeight="1" x14ac:dyDescent="0.25">
      <c r="A31" s="19" t="s">
        <v>12</v>
      </c>
      <c r="B31" s="366" t="s">
        <v>101</v>
      </c>
      <c r="C31" s="366"/>
      <c r="D31" s="366"/>
      <c r="E31" s="366"/>
      <c r="F31" s="366"/>
      <c r="G31" s="366"/>
      <c r="H31" s="194"/>
      <c r="I31" s="194"/>
      <c r="J31" s="358">
        <v>0</v>
      </c>
      <c r="K31" s="359"/>
      <c r="L31" s="11"/>
      <c r="M31" s="11"/>
    </row>
    <row r="32" spans="1:21" ht="15" customHeight="1" x14ac:dyDescent="0.25">
      <c r="A32" s="107" t="s">
        <v>23</v>
      </c>
      <c r="B32" s="355" t="s">
        <v>175</v>
      </c>
      <c r="C32" s="356"/>
      <c r="D32" s="356"/>
      <c r="E32" s="356"/>
      <c r="F32" s="356"/>
      <c r="G32" s="357"/>
      <c r="H32" s="224"/>
      <c r="I32" s="224"/>
      <c r="J32" s="358">
        <v>0</v>
      </c>
      <c r="K32" s="359"/>
      <c r="M32" s="360"/>
      <c r="N32" s="360"/>
      <c r="O32" s="360"/>
      <c r="P32" s="360"/>
      <c r="Q32" s="360"/>
      <c r="R32" s="360"/>
      <c r="S32" s="360"/>
      <c r="T32" s="360"/>
      <c r="U32" s="360"/>
    </row>
    <row r="33" spans="1:19" ht="15" customHeight="1" x14ac:dyDescent="0.25">
      <c r="A33" s="19" t="s">
        <v>24</v>
      </c>
      <c r="B33" s="361" t="s">
        <v>330</v>
      </c>
      <c r="C33" s="362"/>
      <c r="D33" s="362"/>
      <c r="E33" s="362"/>
      <c r="F33" s="362"/>
      <c r="G33" s="363"/>
      <c r="H33" s="195"/>
      <c r="I33" s="195"/>
      <c r="J33" s="358"/>
      <c r="K33" s="359"/>
      <c r="L33" s="11"/>
      <c r="M33" s="320"/>
      <c r="N33" s="320"/>
      <c r="O33" s="320"/>
      <c r="P33" s="320"/>
      <c r="Q33" s="320"/>
    </row>
    <row r="34" spans="1:19" ht="15" customHeight="1" x14ac:dyDescent="0.25">
      <c r="A34" s="308" t="s">
        <v>99</v>
      </c>
      <c r="B34" s="308"/>
      <c r="C34" s="308"/>
      <c r="D34" s="308"/>
      <c r="E34" s="308"/>
      <c r="F34" s="308"/>
      <c r="G34" s="308"/>
      <c r="H34" s="217"/>
      <c r="I34" s="217"/>
      <c r="J34" s="353">
        <f>SUM(J26:K33)</f>
        <v>2377.96</v>
      </c>
      <c r="K34" s="354"/>
      <c r="L34" s="11"/>
      <c r="M34" s="11"/>
    </row>
    <row r="35" spans="1:19" ht="15" customHeight="1" x14ac:dyDescent="0.25">
      <c r="A35" s="286" t="s">
        <v>98</v>
      </c>
      <c r="B35" s="287"/>
      <c r="C35" s="287"/>
      <c r="D35" s="287"/>
      <c r="E35" s="287"/>
      <c r="F35" s="287"/>
      <c r="G35" s="287"/>
      <c r="H35" s="287"/>
      <c r="I35" s="287"/>
      <c r="J35" s="287"/>
      <c r="K35" s="288"/>
      <c r="L35" s="11"/>
      <c r="M35" s="11"/>
      <c r="S35" s="52"/>
    </row>
    <row r="36" spans="1:19" ht="15" customHeight="1" x14ac:dyDescent="0.25">
      <c r="A36" s="307" t="s">
        <v>162</v>
      </c>
      <c r="B36" s="307"/>
      <c r="C36" s="307"/>
      <c r="D36" s="307"/>
      <c r="E36" s="307"/>
      <c r="F36" s="307"/>
      <c r="G36" s="307"/>
      <c r="H36" s="307"/>
      <c r="I36" s="307"/>
      <c r="J36" s="307"/>
      <c r="K36" s="307"/>
      <c r="L36" s="11"/>
      <c r="M36" s="11"/>
      <c r="N36" s="58"/>
    </row>
    <row r="37" spans="1:19" ht="15" customHeight="1" x14ac:dyDescent="0.25">
      <c r="A37" s="40" t="s">
        <v>85</v>
      </c>
      <c r="B37" s="321" t="s">
        <v>163</v>
      </c>
      <c r="C37" s="322"/>
      <c r="D37" s="322"/>
      <c r="E37" s="322"/>
      <c r="F37" s="322"/>
      <c r="G37" s="323"/>
      <c r="H37" s="219"/>
      <c r="I37" s="219"/>
      <c r="J37" s="40" t="s">
        <v>64</v>
      </c>
      <c r="K37" s="43" t="s">
        <v>10</v>
      </c>
      <c r="L37" s="11"/>
      <c r="M37" s="11"/>
      <c r="P37" s="56"/>
    </row>
    <row r="38" spans="1:19" ht="15" customHeight="1" x14ac:dyDescent="0.25">
      <c r="A38" s="23" t="s">
        <v>2</v>
      </c>
      <c r="B38" s="324" t="s">
        <v>97</v>
      </c>
      <c r="C38" s="325"/>
      <c r="D38" s="325"/>
      <c r="E38" s="325"/>
      <c r="F38" s="325"/>
      <c r="G38" s="326"/>
      <c r="H38" s="222"/>
      <c r="I38" s="222"/>
      <c r="J38" s="61">
        <v>8.3299999999999999E-2</v>
      </c>
      <c r="K38" s="30">
        <f>(J26+J27+J30)*J38</f>
        <v>198.084068</v>
      </c>
      <c r="L38" s="11"/>
      <c r="M38" s="12"/>
      <c r="N38" s="57"/>
      <c r="O38" s="57"/>
      <c r="P38" s="56"/>
      <c r="Q38" s="9"/>
    </row>
    <row r="39" spans="1:19" ht="15" customHeight="1" x14ac:dyDescent="0.25">
      <c r="A39" s="23" t="s">
        <v>3</v>
      </c>
      <c r="B39" s="324" t="s">
        <v>161</v>
      </c>
      <c r="C39" s="325"/>
      <c r="D39" s="325"/>
      <c r="E39" s="325"/>
      <c r="F39" s="325"/>
      <c r="G39" s="326"/>
      <c r="H39" s="222"/>
      <c r="I39" s="222"/>
      <c r="J39" s="61">
        <v>0.121</v>
      </c>
      <c r="K39" s="30">
        <f>(J26+J27+J30)*J39</f>
        <v>287.73316</v>
      </c>
      <c r="L39" s="11"/>
      <c r="M39" s="12"/>
      <c r="N39" s="57"/>
      <c r="O39" s="57"/>
      <c r="P39" s="56"/>
      <c r="Q39" s="9"/>
    </row>
    <row r="40" spans="1:19" ht="15" customHeight="1" x14ac:dyDescent="0.25">
      <c r="A40" s="60" t="s">
        <v>68</v>
      </c>
      <c r="B40" s="59"/>
      <c r="C40" s="59"/>
      <c r="D40" s="59"/>
      <c r="E40" s="59"/>
      <c r="F40" s="59"/>
      <c r="G40" s="59"/>
      <c r="H40" s="59"/>
      <c r="I40" s="59"/>
      <c r="J40" s="66">
        <f>SUM(J38:J39)</f>
        <v>0.20429999999999998</v>
      </c>
      <c r="K40" s="65">
        <f>SUM(K38:K39)</f>
        <v>485.817228</v>
      </c>
      <c r="L40" s="11"/>
      <c r="M40" s="11"/>
      <c r="N40" s="52"/>
      <c r="P40" s="52"/>
    </row>
    <row r="41" spans="1:19" ht="15" customHeight="1" x14ac:dyDescent="0.25">
      <c r="A41" s="307" t="s">
        <v>96</v>
      </c>
      <c r="B41" s="307"/>
      <c r="C41" s="307"/>
      <c r="D41" s="307"/>
      <c r="E41" s="307"/>
      <c r="F41" s="307"/>
      <c r="G41" s="307"/>
      <c r="H41" s="307"/>
      <c r="I41" s="307"/>
      <c r="J41" s="307"/>
      <c r="K41" s="307"/>
      <c r="L41" s="11"/>
      <c r="M41" s="11"/>
    </row>
    <row r="42" spans="1:19" ht="15" customHeight="1" x14ac:dyDescent="0.25">
      <c r="A42" s="40" t="s">
        <v>83</v>
      </c>
      <c r="B42" s="307" t="s">
        <v>82</v>
      </c>
      <c r="C42" s="307"/>
      <c r="D42" s="307"/>
      <c r="E42" s="307"/>
      <c r="F42" s="307"/>
      <c r="G42" s="307"/>
      <c r="H42" s="215"/>
      <c r="I42" s="215"/>
      <c r="J42" s="40" t="s">
        <v>64</v>
      </c>
      <c r="K42" s="43" t="s">
        <v>10</v>
      </c>
      <c r="L42" s="11"/>
      <c r="M42" s="11"/>
      <c r="P42" s="52"/>
    </row>
    <row r="43" spans="1:19" ht="15" customHeight="1" x14ac:dyDescent="0.25">
      <c r="A43" s="23" t="s">
        <v>2</v>
      </c>
      <c r="B43" s="352" t="s">
        <v>18</v>
      </c>
      <c r="C43" s="352"/>
      <c r="D43" s="352"/>
      <c r="E43" s="352"/>
      <c r="F43" s="352"/>
      <c r="G43" s="352"/>
      <c r="H43" s="223"/>
      <c r="I43" s="223"/>
      <c r="J43" s="31">
        <v>0.2</v>
      </c>
      <c r="K43" s="32">
        <f>((J26+J27+J30)+$K$40)*J43</f>
        <v>572.75544560000003</v>
      </c>
      <c r="L43" s="11"/>
      <c r="M43" s="11"/>
      <c r="R43" s="54"/>
    </row>
    <row r="44" spans="1:19" ht="15" customHeight="1" x14ac:dyDescent="0.25">
      <c r="A44" s="23" t="s">
        <v>3</v>
      </c>
      <c r="B44" s="352" t="s">
        <v>21</v>
      </c>
      <c r="C44" s="352"/>
      <c r="D44" s="352"/>
      <c r="E44" s="352"/>
      <c r="F44" s="352"/>
      <c r="G44" s="352"/>
      <c r="H44" s="223"/>
      <c r="I44" s="223"/>
      <c r="J44" s="31">
        <v>2.5000000000000001E-2</v>
      </c>
      <c r="K44" s="32">
        <f>((J26+J27+J30)+$K$40)*J44</f>
        <v>71.594430700000004</v>
      </c>
      <c r="L44" s="11"/>
      <c r="M44" s="11"/>
      <c r="Q44" s="52"/>
    </row>
    <row r="45" spans="1:19" ht="15" customHeight="1" x14ac:dyDescent="0.25">
      <c r="A45" s="33" t="s">
        <v>4</v>
      </c>
      <c r="B45" s="352" t="s">
        <v>126</v>
      </c>
      <c r="C45" s="352"/>
      <c r="D45" s="352"/>
      <c r="E45" s="352"/>
      <c r="F45" s="352"/>
      <c r="G45" s="352"/>
      <c r="H45" s="222"/>
      <c r="I45" s="222"/>
      <c r="J45" s="49">
        <v>0.03</v>
      </c>
      <c r="K45" s="32">
        <f>((J26+J27+J30)+$K$40)*J45</f>
        <v>85.913316839999993</v>
      </c>
      <c r="L45" s="11"/>
      <c r="M45" s="11"/>
      <c r="N45" s="203"/>
    </row>
    <row r="46" spans="1:19" ht="15" customHeight="1" x14ac:dyDescent="0.25">
      <c r="A46" s="33" t="s">
        <v>5</v>
      </c>
      <c r="B46" s="352" t="s">
        <v>95</v>
      </c>
      <c r="C46" s="352"/>
      <c r="D46" s="352"/>
      <c r="E46" s="352"/>
      <c r="F46" s="352"/>
      <c r="G46" s="352"/>
      <c r="H46" s="223"/>
      <c r="I46" s="223"/>
      <c r="J46" s="31">
        <v>1.4999999999999999E-2</v>
      </c>
      <c r="K46" s="32">
        <f>((J26+J27+J30)+$K$40)*J46</f>
        <v>42.956658419999997</v>
      </c>
      <c r="L46" s="11"/>
      <c r="M46" s="11"/>
      <c r="N46" s="202"/>
    </row>
    <row r="47" spans="1:19" ht="15" customHeight="1" x14ac:dyDescent="0.25">
      <c r="A47" s="23" t="s">
        <v>11</v>
      </c>
      <c r="B47" s="352" t="s">
        <v>19</v>
      </c>
      <c r="C47" s="352"/>
      <c r="D47" s="352"/>
      <c r="E47" s="352"/>
      <c r="F47" s="352"/>
      <c r="G47" s="352"/>
      <c r="H47" s="228"/>
      <c r="I47" s="228"/>
      <c r="J47" s="50">
        <v>0.01</v>
      </c>
      <c r="K47" s="32">
        <f>((J26+J27+J30)+$K$40)*J47</f>
        <v>28.63777228</v>
      </c>
      <c r="L47" s="11"/>
      <c r="M47" s="11"/>
    </row>
    <row r="48" spans="1:19" ht="15" customHeight="1" x14ac:dyDescent="0.25">
      <c r="A48" s="23" t="s">
        <v>12</v>
      </c>
      <c r="B48" s="352" t="s">
        <v>25</v>
      </c>
      <c r="C48" s="352"/>
      <c r="D48" s="352"/>
      <c r="E48" s="352"/>
      <c r="F48" s="352"/>
      <c r="G48" s="352"/>
      <c r="H48" s="223"/>
      <c r="I48" s="223"/>
      <c r="J48" s="31">
        <v>6.0000000000000001E-3</v>
      </c>
      <c r="K48" s="32">
        <f>((J26+J27+J30)+$K$40)*J48</f>
        <v>17.182663368</v>
      </c>
      <c r="L48" s="11"/>
      <c r="M48" s="11"/>
    </row>
    <row r="49" spans="1:17" ht="15" customHeight="1" x14ac:dyDescent="0.25">
      <c r="A49" s="23" t="s">
        <v>23</v>
      </c>
      <c r="B49" s="352" t="s">
        <v>20</v>
      </c>
      <c r="C49" s="352"/>
      <c r="D49" s="352"/>
      <c r="E49" s="352"/>
      <c r="F49" s="352"/>
      <c r="G49" s="352"/>
      <c r="H49" s="223"/>
      <c r="I49" s="223"/>
      <c r="J49" s="31">
        <v>2E-3</v>
      </c>
      <c r="K49" s="32">
        <f>((J26+J27+J30)+$K$40)*J49</f>
        <v>5.727554456</v>
      </c>
      <c r="L49" s="11"/>
      <c r="M49" s="11"/>
    </row>
    <row r="50" spans="1:17" ht="15" customHeight="1" x14ac:dyDescent="0.25">
      <c r="A50" s="23" t="s">
        <v>24</v>
      </c>
      <c r="B50" s="352" t="s">
        <v>22</v>
      </c>
      <c r="C50" s="352"/>
      <c r="D50" s="352"/>
      <c r="E50" s="352"/>
      <c r="F50" s="352"/>
      <c r="G50" s="352"/>
      <c r="H50" s="228"/>
      <c r="I50" s="228"/>
      <c r="J50" s="50">
        <v>0.08</v>
      </c>
      <c r="K50" s="32">
        <f>((J26+J27+J30)+$K$40)*J50</f>
        <v>229.10217824</v>
      </c>
      <c r="L50" s="11"/>
      <c r="M50" s="11"/>
    </row>
    <row r="51" spans="1:17" ht="15" customHeight="1" x14ac:dyDescent="0.25">
      <c r="A51" s="308" t="s">
        <v>37</v>
      </c>
      <c r="B51" s="308"/>
      <c r="C51" s="308"/>
      <c r="D51" s="308"/>
      <c r="E51" s="308"/>
      <c r="F51" s="308"/>
      <c r="G51" s="308"/>
      <c r="H51" s="40"/>
      <c r="I51" s="40"/>
      <c r="J51" s="45">
        <f>SUM(J43:J50)</f>
        <v>0.36800000000000005</v>
      </c>
      <c r="K51" s="44">
        <f>SUM(K43:K50)</f>
        <v>1053.8700199040002</v>
      </c>
      <c r="L51" s="11"/>
      <c r="M51" s="11"/>
    </row>
    <row r="52" spans="1:17" ht="15" customHeight="1" x14ac:dyDescent="0.25">
      <c r="A52" s="317" t="s">
        <v>94</v>
      </c>
      <c r="B52" s="318"/>
      <c r="C52" s="318"/>
      <c r="D52" s="318"/>
      <c r="E52" s="318"/>
      <c r="F52" s="318"/>
      <c r="G52" s="318"/>
      <c r="H52" s="318"/>
      <c r="I52" s="318"/>
      <c r="J52" s="318"/>
      <c r="K52" s="319"/>
      <c r="L52" s="11"/>
    </row>
    <row r="53" spans="1:17" ht="15" customHeight="1" x14ac:dyDescent="0.25">
      <c r="A53" s="40" t="s">
        <v>81</v>
      </c>
      <c r="B53" s="307" t="s">
        <v>80</v>
      </c>
      <c r="C53" s="307"/>
      <c r="D53" s="307"/>
      <c r="E53" s="307"/>
      <c r="F53" s="307"/>
      <c r="G53" s="307"/>
      <c r="H53" s="215"/>
      <c r="I53" s="215"/>
      <c r="J53" s="308" t="s">
        <v>10</v>
      </c>
      <c r="K53" s="308"/>
      <c r="L53" s="11"/>
      <c r="M53" s="347" t="s">
        <v>177</v>
      </c>
      <c r="N53" s="347"/>
    </row>
    <row r="54" spans="1:17" ht="15" customHeight="1" x14ac:dyDescent="0.25">
      <c r="A54" s="336" t="s">
        <v>2</v>
      </c>
      <c r="B54" s="336" t="s">
        <v>93</v>
      </c>
      <c r="C54" s="23" t="s">
        <v>91</v>
      </c>
      <c r="D54" s="23" t="s">
        <v>176</v>
      </c>
      <c r="E54" s="23" t="s">
        <v>92</v>
      </c>
      <c r="F54" s="23" t="s">
        <v>89</v>
      </c>
      <c r="G54" s="23" t="s">
        <v>88</v>
      </c>
      <c r="H54" s="229"/>
      <c r="I54" s="229"/>
      <c r="J54" s="348">
        <f>D55*E55*F55</f>
        <v>256.5</v>
      </c>
      <c r="K54" s="349"/>
      <c r="L54" s="11"/>
      <c r="M54" s="346" t="s">
        <v>157</v>
      </c>
      <c r="N54" s="346"/>
    </row>
    <row r="55" spans="1:17" ht="15" customHeight="1" x14ac:dyDescent="0.25">
      <c r="A55" s="337"/>
      <c r="B55" s="337"/>
      <c r="C55" s="23" t="s">
        <v>87</v>
      </c>
      <c r="D55" s="29">
        <v>8.5500000000000007</v>
      </c>
      <c r="E55" s="23">
        <v>2</v>
      </c>
      <c r="F55" s="23">
        <v>15</v>
      </c>
      <c r="G55" s="29">
        <f>J26*0.06</f>
        <v>109.752</v>
      </c>
      <c r="H55" s="230"/>
      <c r="I55" s="230"/>
      <c r="J55" s="350">
        <f>D55*E55*F55-G55</f>
        <v>146.74799999999999</v>
      </c>
      <c r="K55" s="351"/>
      <c r="L55" s="11"/>
      <c r="M55" s="346" t="s">
        <v>158</v>
      </c>
      <c r="N55" s="346"/>
    </row>
    <row r="56" spans="1:17" ht="15" customHeight="1" x14ac:dyDescent="0.25">
      <c r="A56" s="336" t="s">
        <v>3</v>
      </c>
      <c r="B56" s="338" t="s">
        <v>156</v>
      </c>
      <c r="C56" s="339"/>
      <c r="D56" s="23" t="s">
        <v>91</v>
      </c>
      <c r="E56" s="23" t="s">
        <v>90</v>
      </c>
      <c r="F56" s="23" t="s">
        <v>89</v>
      </c>
      <c r="G56" s="23" t="s">
        <v>88</v>
      </c>
      <c r="H56" s="229"/>
      <c r="I56" s="229"/>
      <c r="J56" s="342">
        <f>IF(D57="N",0,(E57*F57)-G57)</f>
        <v>432.95999999999992</v>
      </c>
      <c r="K56" s="343"/>
      <c r="L56" s="11"/>
      <c r="M56" s="346" t="s">
        <v>159</v>
      </c>
      <c r="N56" s="346"/>
      <c r="Q56" s="52"/>
    </row>
    <row r="57" spans="1:17" ht="15" customHeight="1" x14ac:dyDescent="0.25">
      <c r="A57" s="337"/>
      <c r="B57" s="340"/>
      <c r="C57" s="341"/>
      <c r="D57" s="23" t="s">
        <v>87</v>
      </c>
      <c r="E57" s="29">
        <v>36.08</v>
      </c>
      <c r="F57" s="23">
        <v>15</v>
      </c>
      <c r="G57" s="29">
        <f>E57*F57*0.2</f>
        <v>108.24</v>
      </c>
      <c r="H57" s="230"/>
      <c r="I57" s="230"/>
      <c r="J57" s="344"/>
      <c r="K57" s="345"/>
      <c r="L57" s="11"/>
      <c r="M57" s="346" t="s">
        <v>160</v>
      </c>
      <c r="N57" s="346"/>
      <c r="Q57" s="52"/>
    </row>
    <row r="58" spans="1:17" ht="15" customHeight="1" x14ac:dyDescent="0.25">
      <c r="A58" s="51" t="s">
        <v>4</v>
      </c>
      <c r="B58" s="331" t="s">
        <v>155</v>
      </c>
      <c r="C58" s="333"/>
      <c r="D58" s="23" t="s">
        <v>87</v>
      </c>
      <c r="E58" s="29">
        <v>16.73</v>
      </c>
      <c r="F58" s="23">
        <v>1</v>
      </c>
      <c r="G58" s="29">
        <f>E58*F58*0.2</f>
        <v>3.3460000000000001</v>
      </c>
      <c r="H58" s="231"/>
      <c r="I58" s="231"/>
      <c r="J58" s="334">
        <f>IF(D58="N",0,(E58*F58)-G58)</f>
        <v>13.384</v>
      </c>
      <c r="K58" s="335"/>
      <c r="L58" s="11"/>
      <c r="M58" s="11"/>
      <c r="Q58" s="52"/>
    </row>
    <row r="59" spans="1:17" ht="15" customHeight="1" x14ac:dyDescent="0.25">
      <c r="A59" s="51" t="s">
        <v>5</v>
      </c>
      <c r="B59" s="331" t="s">
        <v>144</v>
      </c>
      <c r="C59" s="332"/>
      <c r="D59" s="332"/>
      <c r="E59" s="332"/>
      <c r="F59" s="332"/>
      <c r="G59" s="333"/>
      <c r="H59" s="91"/>
      <c r="I59" s="91"/>
      <c r="J59" s="334"/>
      <c r="K59" s="335"/>
      <c r="L59" s="11"/>
      <c r="M59" s="11"/>
      <c r="Q59" s="52"/>
    </row>
    <row r="60" spans="1:17" ht="15" customHeight="1" x14ac:dyDescent="0.25">
      <c r="A60" s="51" t="s">
        <v>11</v>
      </c>
      <c r="B60" s="331" t="s">
        <v>166</v>
      </c>
      <c r="C60" s="332"/>
      <c r="D60" s="332"/>
      <c r="E60" s="332"/>
      <c r="F60" s="332"/>
      <c r="G60" s="333"/>
      <c r="H60" s="91"/>
      <c r="I60" s="91"/>
      <c r="J60" s="334"/>
      <c r="K60" s="335"/>
      <c r="L60" s="11"/>
      <c r="M60" s="11"/>
      <c r="Q60" s="52"/>
    </row>
    <row r="61" spans="1:17" ht="15" customHeight="1" x14ac:dyDescent="0.25">
      <c r="A61" s="51" t="s">
        <v>12</v>
      </c>
      <c r="B61" s="90" t="s">
        <v>167</v>
      </c>
      <c r="C61" s="91"/>
      <c r="D61" s="91"/>
      <c r="E61" s="91"/>
      <c r="F61" s="91"/>
      <c r="G61" s="92"/>
      <c r="H61" s="91"/>
      <c r="I61" s="91"/>
      <c r="J61" s="103"/>
      <c r="K61" s="104"/>
      <c r="L61" s="11"/>
      <c r="M61" s="11"/>
      <c r="Q61" s="52"/>
    </row>
    <row r="62" spans="1:17" ht="15" customHeight="1" x14ac:dyDescent="0.25">
      <c r="A62" s="51" t="s">
        <v>23</v>
      </c>
      <c r="B62" s="90" t="s">
        <v>168</v>
      </c>
      <c r="C62" s="91"/>
      <c r="D62" s="91"/>
      <c r="E62" s="91"/>
      <c r="F62" s="91"/>
      <c r="G62" s="92"/>
      <c r="H62" s="91"/>
      <c r="I62" s="91"/>
      <c r="J62" s="334">
        <v>29.66</v>
      </c>
      <c r="K62" s="335"/>
      <c r="L62" s="11"/>
      <c r="M62" s="11"/>
      <c r="Q62" s="52"/>
    </row>
    <row r="63" spans="1:17" ht="15" customHeight="1" x14ac:dyDescent="0.25">
      <c r="A63" s="308" t="s">
        <v>68</v>
      </c>
      <c r="B63" s="308"/>
      <c r="C63" s="308"/>
      <c r="D63" s="308"/>
      <c r="E63" s="308"/>
      <c r="F63" s="308"/>
      <c r="G63" s="308"/>
      <c r="H63" s="40"/>
      <c r="I63" s="40"/>
      <c r="J63" s="328">
        <f>SUM(J55:K62)</f>
        <v>622.75199999999984</v>
      </c>
      <c r="K63" s="328"/>
      <c r="L63" s="11"/>
      <c r="M63" s="11"/>
    </row>
    <row r="64" spans="1:17" ht="15" customHeight="1" x14ac:dyDescent="0.25">
      <c r="A64" s="309"/>
      <c r="B64" s="309"/>
      <c r="C64" s="309"/>
      <c r="D64" s="309"/>
      <c r="E64" s="309"/>
      <c r="F64" s="309"/>
      <c r="G64" s="309"/>
      <c r="H64" s="309"/>
      <c r="I64" s="309"/>
      <c r="J64" s="309"/>
      <c r="K64" s="309"/>
      <c r="L64" s="11"/>
      <c r="M64" s="11"/>
    </row>
    <row r="65" spans="1:29" ht="15" customHeight="1" x14ac:dyDescent="0.25">
      <c r="A65" s="310" t="s">
        <v>86</v>
      </c>
      <c r="B65" s="310"/>
      <c r="C65" s="310"/>
      <c r="D65" s="310"/>
      <c r="E65" s="310"/>
      <c r="F65" s="310"/>
      <c r="G65" s="310"/>
      <c r="H65" s="310"/>
      <c r="I65" s="310"/>
      <c r="J65" s="310"/>
      <c r="K65" s="310"/>
      <c r="L65" s="11"/>
      <c r="M65" s="11"/>
      <c r="P65" s="53"/>
    </row>
    <row r="66" spans="1:29" ht="15" customHeight="1" x14ac:dyDescent="0.25">
      <c r="A66" s="311"/>
      <c r="B66" s="311"/>
      <c r="C66" s="311"/>
      <c r="D66" s="311"/>
      <c r="E66" s="311"/>
      <c r="F66" s="311"/>
      <c r="G66" s="311"/>
      <c r="H66" s="311"/>
      <c r="I66" s="311"/>
      <c r="J66" s="311"/>
      <c r="K66" s="311"/>
      <c r="L66" s="11"/>
      <c r="M66" s="11"/>
      <c r="P66" s="52"/>
    </row>
    <row r="67" spans="1:29" ht="15" customHeight="1" x14ac:dyDescent="0.25">
      <c r="A67" s="39">
        <v>2</v>
      </c>
      <c r="B67" s="296" t="s">
        <v>70</v>
      </c>
      <c r="C67" s="296"/>
      <c r="D67" s="296"/>
      <c r="E67" s="296"/>
      <c r="F67" s="296"/>
      <c r="G67" s="296"/>
      <c r="H67" s="211"/>
      <c r="I67" s="211"/>
      <c r="J67" s="278" t="s">
        <v>10</v>
      </c>
      <c r="K67" s="278"/>
      <c r="L67" s="11"/>
      <c r="M67" s="11"/>
    </row>
    <row r="68" spans="1:29" ht="15" customHeight="1" x14ac:dyDescent="0.25">
      <c r="A68" s="24" t="s">
        <v>85</v>
      </c>
      <c r="B68" s="276" t="s">
        <v>84</v>
      </c>
      <c r="C68" s="276"/>
      <c r="D68" s="276"/>
      <c r="E68" s="276"/>
      <c r="F68" s="276"/>
      <c r="G68" s="276"/>
      <c r="H68" s="210"/>
      <c r="I68" s="210"/>
      <c r="J68" s="277">
        <f>K40</f>
        <v>485.817228</v>
      </c>
      <c r="K68" s="277"/>
      <c r="L68" s="11"/>
      <c r="M68" s="14"/>
      <c r="N68" s="10"/>
      <c r="O68" s="10"/>
      <c r="P68" s="10"/>
      <c r="Q68" s="10"/>
    </row>
    <row r="69" spans="1:29" ht="15" customHeight="1" x14ac:dyDescent="0.25">
      <c r="A69" s="24" t="s">
        <v>83</v>
      </c>
      <c r="B69" s="276" t="s">
        <v>82</v>
      </c>
      <c r="C69" s="276"/>
      <c r="D69" s="276"/>
      <c r="E69" s="276"/>
      <c r="F69" s="276"/>
      <c r="G69" s="276"/>
      <c r="H69" s="210"/>
      <c r="I69" s="210"/>
      <c r="J69" s="277">
        <f>K51</f>
        <v>1053.8700199040002</v>
      </c>
      <c r="K69" s="277"/>
      <c r="L69" s="11"/>
      <c r="M69" s="11"/>
    </row>
    <row r="70" spans="1:29" ht="15" customHeight="1" x14ac:dyDescent="0.25">
      <c r="A70" s="24" t="s">
        <v>81</v>
      </c>
      <c r="B70" s="276" t="s">
        <v>80</v>
      </c>
      <c r="C70" s="276"/>
      <c r="D70" s="276"/>
      <c r="E70" s="276"/>
      <c r="F70" s="276"/>
      <c r="G70" s="276"/>
      <c r="H70" s="210"/>
      <c r="I70" s="210"/>
      <c r="J70" s="277">
        <f>J63</f>
        <v>622.75199999999984</v>
      </c>
      <c r="K70" s="277"/>
      <c r="L70" s="11"/>
      <c r="M70" s="11"/>
    </row>
    <row r="71" spans="1:29" ht="15" customHeight="1" x14ac:dyDescent="0.25">
      <c r="A71" s="308" t="s">
        <v>68</v>
      </c>
      <c r="B71" s="308"/>
      <c r="C71" s="308"/>
      <c r="D71" s="308"/>
      <c r="E71" s="308"/>
      <c r="F71" s="308"/>
      <c r="G71" s="308"/>
      <c r="H71" s="40"/>
      <c r="I71" s="40"/>
      <c r="J71" s="328">
        <f>SUM(J68:K70)</f>
        <v>2162.4392479040002</v>
      </c>
      <c r="K71" s="328"/>
      <c r="L71" s="11"/>
      <c r="M71" s="11"/>
    </row>
    <row r="72" spans="1:29" ht="15" customHeight="1" x14ac:dyDescent="0.25">
      <c r="A72" s="306"/>
      <c r="B72" s="306"/>
      <c r="C72" s="306"/>
      <c r="D72" s="306"/>
      <c r="E72" s="306"/>
      <c r="F72" s="306"/>
      <c r="G72" s="306"/>
      <c r="H72" s="306"/>
      <c r="I72" s="306"/>
      <c r="J72" s="306"/>
      <c r="K72" s="306"/>
      <c r="L72" s="11"/>
      <c r="M72" s="11"/>
    </row>
    <row r="73" spans="1:29" ht="15" customHeight="1" x14ac:dyDescent="0.25">
      <c r="A73" s="286" t="s">
        <v>79</v>
      </c>
      <c r="B73" s="287"/>
      <c r="C73" s="287"/>
      <c r="D73" s="287"/>
      <c r="E73" s="287"/>
      <c r="F73" s="287"/>
      <c r="G73" s="287"/>
      <c r="H73" s="287"/>
      <c r="I73" s="287"/>
      <c r="J73" s="287"/>
      <c r="K73" s="288"/>
      <c r="L73" s="11"/>
      <c r="M73" s="320"/>
      <c r="N73" s="320"/>
      <c r="O73" s="320"/>
      <c r="P73" s="320"/>
    </row>
    <row r="74" spans="1:29" ht="15" customHeight="1" x14ac:dyDescent="0.25">
      <c r="A74" s="40">
        <v>3</v>
      </c>
      <c r="B74" s="60" t="s">
        <v>169</v>
      </c>
      <c r="C74" s="59"/>
      <c r="D74" s="59"/>
      <c r="E74" s="59"/>
      <c r="F74" s="59"/>
      <c r="G74" s="59"/>
      <c r="H74" s="59"/>
      <c r="I74" s="59"/>
      <c r="J74" s="40" t="s">
        <v>64</v>
      </c>
      <c r="K74" s="43" t="s">
        <v>10</v>
      </c>
      <c r="L74" s="11"/>
      <c r="M74" s="320"/>
      <c r="N74" s="320"/>
      <c r="O74" s="320"/>
      <c r="P74" s="320"/>
    </row>
    <row r="75" spans="1:29" ht="15" customHeight="1" x14ac:dyDescent="0.25">
      <c r="A75" s="23" t="s">
        <v>2</v>
      </c>
      <c r="B75" s="324" t="s">
        <v>260</v>
      </c>
      <c r="C75" s="325"/>
      <c r="D75" s="325"/>
      <c r="E75" s="325"/>
      <c r="F75" s="325"/>
      <c r="G75" s="326"/>
      <c r="H75" s="222"/>
      <c r="I75" s="222"/>
      <c r="J75" s="55">
        <v>4.6249999999999998E-3</v>
      </c>
      <c r="K75" s="32">
        <f>$J$75*(J26+J27+J30)</f>
        <v>10.998065</v>
      </c>
      <c r="L75" s="11"/>
      <c r="M75" s="330"/>
      <c r="N75" s="330"/>
      <c r="O75" s="330"/>
      <c r="P75" s="330"/>
      <c r="Q75" s="330"/>
      <c r="R75" s="330"/>
      <c r="S75" s="330"/>
      <c r="T75" s="330"/>
      <c r="U75" s="330"/>
      <c r="V75" s="330"/>
      <c r="W75" s="330"/>
      <c r="X75" s="330"/>
      <c r="Y75" s="330"/>
      <c r="Z75" s="330"/>
      <c r="AA75" s="330"/>
      <c r="AB75" s="330"/>
      <c r="AC75" s="330"/>
    </row>
    <row r="76" spans="1:29" ht="15" customHeight="1" x14ac:dyDescent="0.25">
      <c r="A76" s="23" t="s">
        <v>3</v>
      </c>
      <c r="B76" s="62" t="s">
        <v>26</v>
      </c>
      <c r="C76" s="63"/>
      <c r="D76" s="63"/>
      <c r="E76" s="63"/>
      <c r="F76" s="63"/>
      <c r="G76" s="63"/>
      <c r="H76" s="63"/>
      <c r="I76" s="63"/>
      <c r="J76" s="55">
        <f>K76/(J26+J27+J30)</f>
        <v>3.7000000000000005E-4</v>
      </c>
      <c r="K76" s="32">
        <f>K75*0.08</f>
        <v>0.8798452000000001</v>
      </c>
      <c r="L76" s="11"/>
      <c r="M76" s="108"/>
      <c r="N76" s="52"/>
    </row>
    <row r="77" spans="1:29" ht="15" customHeight="1" x14ac:dyDescent="0.25">
      <c r="A77" s="23" t="s">
        <v>4</v>
      </c>
      <c r="B77" s="62" t="s">
        <v>321</v>
      </c>
      <c r="C77" s="63"/>
      <c r="D77" s="63"/>
      <c r="E77" s="63"/>
      <c r="F77" s="63"/>
      <c r="G77" s="63"/>
      <c r="H77" s="63"/>
      <c r="I77" s="63"/>
      <c r="J77" s="55">
        <v>5.4000000000000003E-3</v>
      </c>
      <c r="K77" s="32">
        <f>K75*0.4</f>
        <v>4.3992260000000005</v>
      </c>
      <c r="L77" s="11"/>
      <c r="M77" s="320"/>
      <c r="N77" s="320"/>
      <c r="O77" s="320"/>
      <c r="P77" s="320"/>
      <c r="Q77" s="320"/>
      <c r="R77" s="320"/>
      <c r="S77" s="320"/>
      <c r="T77" s="320"/>
      <c r="U77" s="320"/>
      <c r="V77" s="320"/>
      <c r="W77" s="320"/>
      <c r="X77" s="320"/>
      <c r="Y77" s="320"/>
      <c r="Z77" s="320"/>
      <c r="AA77" s="320"/>
      <c r="AB77" s="320"/>
    </row>
    <row r="78" spans="1:29" ht="15" customHeight="1" x14ac:dyDescent="0.25">
      <c r="A78" s="23" t="s">
        <v>5</v>
      </c>
      <c r="B78" s="324" t="s">
        <v>261</v>
      </c>
      <c r="C78" s="325"/>
      <c r="D78" s="325"/>
      <c r="E78" s="325"/>
      <c r="F78" s="325"/>
      <c r="G78" s="326"/>
      <c r="H78" s="222"/>
      <c r="I78" s="222"/>
      <c r="J78" s="55">
        <f>7/30/12</f>
        <v>1.9444444444444445E-2</v>
      </c>
      <c r="K78" s="32">
        <f>J78*(J26+J27+J30)</f>
        <v>46.23811111111111</v>
      </c>
      <c r="L78" s="11"/>
      <c r="M78" s="108"/>
      <c r="O78" s="54"/>
    </row>
    <row r="79" spans="1:29" ht="15" customHeight="1" x14ac:dyDescent="0.25">
      <c r="A79" s="23" t="s">
        <v>11</v>
      </c>
      <c r="B79" s="62" t="s">
        <v>78</v>
      </c>
      <c r="C79" s="63"/>
      <c r="D79" s="63"/>
      <c r="E79" s="63"/>
      <c r="F79" s="63"/>
      <c r="G79" s="63"/>
      <c r="H79" s="63"/>
      <c r="I79" s="63"/>
      <c r="J79" s="55">
        <f>J51*J78</f>
        <v>7.1555555555555565E-3</v>
      </c>
      <c r="K79" s="32">
        <f>J79*(J26+J27+J30)</f>
        <v>17.01562488888889</v>
      </c>
      <c r="L79" s="11"/>
      <c r="M79" s="320"/>
      <c r="N79" s="320"/>
      <c r="O79" s="320"/>
      <c r="P79" s="320"/>
    </row>
    <row r="80" spans="1:29" ht="15" customHeight="1" x14ac:dyDescent="0.25">
      <c r="A80" s="23" t="s">
        <v>12</v>
      </c>
      <c r="B80" s="62" t="s">
        <v>322</v>
      </c>
      <c r="C80" s="63"/>
      <c r="D80" s="63"/>
      <c r="E80" s="63"/>
      <c r="F80" s="63"/>
      <c r="G80" s="63"/>
      <c r="H80" s="63"/>
      <c r="I80" s="63"/>
      <c r="J80" s="55">
        <v>3.4599999999999999E-2</v>
      </c>
      <c r="K80" s="32">
        <f>J80*(J26+J27+J30)</f>
        <v>82.277416000000002</v>
      </c>
      <c r="L80" s="11"/>
      <c r="M80" s="327"/>
      <c r="N80" s="327"/>
      <c r="O80" s="327"/>
      <c r="P80" s="327"/>
      <c r="Q80" s="327"/>
    </row>
    <row r="81" spans="1:42" ht="15" customHeight="1" x14ac:dyDescent="0.25">
      <c r="A81" s="60" t="s">
        <v>68</v>
      </c>
      <c r="B81" s="59"/>
      <c r="C81" s="59"/>
      <c r="D81" s="59"/>
      <c r="E81" s="59"/>
      <c r="F81" s="59"/>
      <c r="G81" s="59"/>
      <c r="H81" s="59"/>
      <c r="I81" s="59"/>
      <c r="J81" s="328">
        <f>SUM(K75:K80)</f>
        <v>161.80828819999999</v>
      </c>
      <c r="K81" s="328"/>
      <c r="L81" s="11"/>
      <c r="M81" s="109"/>
    </row>
    <row r="82" spans="1:42" ht="15" customHeight="1" x14ac:dyDescent="0.25">
      <c r="A82" s="329"/>
      <c r="B82" s="329"/>
      <c r="C82" s="329"/>
      <c r="D82" s="329"/>
      <c r="E82" s="329"/>
      <c r="F82" s="329"/>
      <c r="G82" s="329"/>
      <c r="H82" s="329"/>
      <c r="I82" s="329"/>
      <c r="J82" s="329"/>
      <c r="K82" s="329"/>
      <c r="L82" s="11"/>
      <c r="M82" s="320"/>
      <c r="N82" s="320"/>
      <c r="O82" s="320"/>
      <c r="P82" s="320"/>
      <c r="Q82" s="320"/>
      <c r="R82" s="320"/>
      <c r="S82" s="320"/>
      <c r="T82" s="320"/>
      <c r="U82" s="320"/>
      <c r="V82" s="320"/>
      <c r="W82" s="320"/>
      <c r="X82" s="320"/>
      <c r="Y82" s="320"/>
      <c r="Z82" s="320"/>
      <c r="AA82" s="320"/>
      <c r="AB82" s="320"/>
    </row>
    <row r="83" spans="1:42" ht="15" customHeight="1" x14ac:dyDescent="0.25">
      <c r="A83" s="286" t="s">
        <v>76</v>
      </c>
      <c r="B83" s="287"/>
      <c r="C83" s="287"/>
      <c r="D83" s="287"/>
      <c r="E83" s="287"/>
      <c r="F83" s="287"/>
      <c r="G83" s="287"/>
      <c r="H83" s="287"/>
      <c r="I83" s="287"/>
      <c r="J83" s="287"/>
      <c r="K83" s="288"/>
      <c r="L83" s="11"/>
      <c r="M83" s="108"/>
    </row>
    <row r="84" spans="1:42" ht="15" customHeight="1" x14ac:dyDescent="0.25">
      <c r="A84" s="317" t="s">
        <v>75</v>
      </c>
      <c r="B84" s="318"/>
      <c r="C84" s="318"/>
      <c r="D84" s="318"/>
      <c r="E84" s="318"/>
      <c r="F84" s="318"/>
      <c r="G84" s="318"/>
      <c r="H84" s="318"/>
      <c r="I84" s="318"/>
      <c r="J84" s="318"/>
      <c r="K84" s="319"/>
      <c r="L84" s="11"/>
      <c r="M84" s="320"/>
      <c r="N84" s="320"/>
      <c r="O84" s="320"/>
      <c r="P84" s="320"/>
      <c r="Q84" s="320"/>
      <c r="R84" s="320"/>
      <c r="S84" s="320"/>
      <c r="T84" s="320"/>
      <c r="U84" s="320"/>
      <c r="V84" s="320"/>
      <c r="W84" s="320"/>
      <c r="X84" s="320"/>
      <c r="Y84" s="320"/>
      <c r="Z84" s="320"/>
      <c r="AA84" s="320"/>
      <c r="AB84" s="320"/>
      <c r="AC84" s="320"/>
      <c r="AD84" s="320"/>
      <c r="AE84" s="320"/>
      <c r="AF84" s="320"/>
      <c r="AG84" s="320"/>
      <c r="AH84" s="320"/>
      <c r="AI84" s="320"/>
      <c r="AJ84" s="320"/>
      <c r="AK84" s="320"/>
      <c r="AL84" s="320"/>
      <c r="AM84" s="320"/>
      <c r="AN84" s="320"/>
      <c r="AO84" s="320"/>
      <c r="AP84" s="320"/>
    </row>
    <row r="85" spans="1:42" ht="15" customHeight="1" x14ac:dyDescent="0.25">
      <c r="A85" s="40" t="s">
        <v>17</v>
      </c>
      <c r="B85" s="321" t="s">
        <v>74</v>
      </c>
      <c r="C85" s="322"/>
      <c r="D85" s="322"/>
      <c r="E85" s="322"/>
      <c r="F85" s="322"/>
      <c r="G85" s="323"/>
      <c r="H85" s="219"/>
      <c r="I85" s="219"/>
      <c r="J85" s="40" t="s">
        <v>64</v>
      </c>
      <c r="K85" s="40" t="s">
        <v>10</v>
      </c>
      <c r="L85" s="11"/>
      <c r="M85" s="108"/>
    </row>
    <row r="86" spans="1:42" ht="15" customHeight="1" x14ac:dyDescent="0.25">
      <c r="A86" s="23" t="s">
        <v>2</v>
      </c>
      <c r="B86" s="62" t="s">
        <v>73</v>
      </c>
      <c r="C86" s="63"/>
      <c r="D86" s="63"/>
      <c r="E86" s="63"/>
      <c r="F86" s="63"/>
      <c r="G86" s="63"/>
      <c r="H86" s="63"/>
      <c r="I86" s="63"/>
      <c r="J86" s="55">
        <f>'Memória de Cálculo'!C48</f>
        <v>6.9444444444444441E-3</v>
      </c>
      <c r="K86" s="30">
        <f>J86*(J26+J27)</f>
        <v>16.513611111111111</v>
      </c>
      <c r="L86" s="11"/>
      <c r="M86" s="11"/>
    </row>
    <row r="87" spans="1:42" ht="15" customHeight="1" x14ac:dyDescent="0.25">
      <c r="A87" s="23" t="s">
        <v>3</v>
      </c>
      <c r="B87" s="62" t="s">
        <v>277</v>
      </c>
      <c r="C87" s="63"/>
      <c r="D87" s="63"/>
      <c r="E87" s="63"/>
      <c r="F87" s="63"/>
      <c r="G87" s="63"/>
      <c r="H87" s="63"/>
      <c r="I87" s="63"/>
      <c r="J87" s="55">
        <f>'Memória de Cálculo'!C49</f>
        <v>8.3333333333333332E-3</v>
      </c>
      <c r="K87" s="30">
        <f>J87*(J26+J27)</f>
        <v>19.816333333333333</v>
      </c>
      <c r="L87" s="11"/>
      <c r="M87" s="13"/>
      <c r="N87" s="9"/>
      <c r="O87" s="9"/>
      <c r="Q87" s="64"/>
    </row>
    <row r="88" spans="1:42" ht="15" customHeight="1" x14ac:dyDescent="0.25">
      <c r="A88" s="23" t="s">
        <v>4</v>
      </c>
      <c r="B88" s="62" t="s">
        <v>331</v>
      </c>
      <c r="C88" s="63"/>
      <c r="D88" s="63"/>
      <c r="E88" s="63"/>
      <c r="F88" s="63"/>
      <c r="G88" s="63"/>
      <c r="H88" s="63"/>
      <c r="I88" s="63"/>
      <c r="J88" s="55">
        <f>'Memória de Cálculo'!C50</f>
        <v>5.2499999999999997E-4</v>
      </c>
      <c r="K88" s="30">
        <f>J88*(J26+J27)</f>
        <v>1.248429</v>
      </c>
      <c r="L88" s="11"/>
      <c r="M88" s="13"/>
      <c r="N88" s="9"/>
      <c r="O88" s="9"/>
      <c r="Q88" s="64"/>
    </row>
    <row r="89" spans="1:42" ht="15" customHeight="1" x14ac:dyDescent="0.25">
      <c r="A89" s="23" t="s">
        <v>5</v>
      </c>
      <c r="B89" s="62" t="s">
        <v>137</v>
      </c>
      <c r="C89" s="63"/>
      <c r="D89" s="63"/>
      <c r="E89" s="63"/>
      <c r="F89" s="63"/>
      <c r="G89" s="63"/>
      <c r="H89" s="63"/>
      <c r="I89" s="63"/>
      <c r="J89" s="55">
        <f>'Memória de Cálculo'!C51</f>
        <v>1.1250000000000001E-4</v>
      </c>
      <c r="K89" s="30">
        <f>J89*(J26+J27+J30)</f>
        <v>0.26752050000000005</v>
      </c>
      <c r="L89" s="11"/>
      <c r="M89" s="11"/>
    </row>
    <row r="90" spans="1:42" ht="15" customHeight="1" x14ac:dyDescent="0.25">
      <c r="A90" s="23" t="s">
        <v>11</v>
      </c>
      <c r="B90" s="62" t="s">
        <v>72</v>
      </c>
      <c r="C90" s="63"/>
      <c r="D90" s="63"/>
      <c r="E90" s="63"/>
      <c r="F90" s="63"/>
      <c r="G90" s="63"/>
      <c r="H90" s="63"/>
      <c r="I90" s="63"/>
      <c r="J90" s="55">
        <f>'Memória de Cálculo'!C52</f>
        <v>4.1666666666666664E-2</v>
      </c>
      <c r="K90" s="30">
        <f>J90*(J26+J27)</f>
        <v>99.081666666666663</v>
      </c>
      <c r="L90" s="11"/>
      <c r="M90" s="11"/>
    </row>
    <row r="91" spans="1:42" ht="15" customHeight="1" x14ac:dyDescent="0.25">
      <c r="A91" s="23" t="s">
        <v>12</v>
      </c>
      <c r="B91" s="62" t="s">
        <v>276</v>
      </c>
      <c r="C91" s="63"/>
      <c r="D91" s="63"/>
      <c r="E91" s="63"/>
      <c r="F91" s="63"/>
      <c r="G91" s="63"/>
      <c r="H91" s="63"/>
      <c r="I91" s="63"/>
      <c r="J91" s="55">
        <f>'Memória de Cálculo'!C53</f>
        <v>1.3888888888888888E-2</v>
      </c>
      <c r="K91" s="30">
        <f>J91*(J26+J27)</f>
        <v>33.027222222222221</v>
      </c>
      <c r="L91" s="11"/>
      <c r="M91" s="11"/>
      <c r="O91" s="68"/>
    </row>
    <row r="92" spans="1:42" ht="15" customHeight="1" x14ac:dyDescent="0.25">
      <c r="A92" s="23"/>
      <c r="B92" s="281" t="s">
        <v>138</v>
      </c>
      <c r="C92" s="312"/>
      <c r="D92" s="312"/>
      <c r="E92" s="312"/>
      <c r="F92" s="312"/>
      <c r="G92" s="282"/>
      <c r="H92" s="216"/>
      <c r="I92" s="216"/>
      <c r="J92" s="67">
        <f>SUM(J86:J91)</f>
        <v>7.1470833333333331E-2</v>
      </c>
      <c r="K92" s="30"/>
      <c r="L92" s="11"/>
      <c r="M92" s="11"/>
    </row>
    <row r="93" spans="1:42" ht="15" customHeight="1" x14ac:dyDescent="0.25">
      <c r="A93" s="23" t="s">
        <v>23</v>
      </c>
      <c r="B93" s="241" t="s">
        <v>332</v>
      </c>
      <c r="C93" s="63"/>
      <c r="D93" s="63"/>
      <c r="E93" s="63"/>
      <c r="F93" s="63"/>
      <c r="G93" s="63"/>
      <c r="H93" s="63"/>
      <c r="I93" s="63"/>
      <c r="J93" s="55">
        <f>SUM(J86:J89)*J51</f>
        <v>5.8568222222222235E-3</v>
      </c>
      <c r="K93" s="30">
        <f>J93*(J26+J27+J30)</f>
        <v>13.927288971555559</v>
      </c>
      <c r="L93" s="11"/>
      <c r="M93" s="11"/>
    </row>
    <row r="94" spans="1:42" ht="15" customHeight="1" x14ac:dyDescent="0.25">
      <c r="A94" s="281" t="s">
        <v>68</v>
      </c>
      <c r="B94" s="312"/>
      <c r="C94" s="312"/>
      <c r="D94" s="312"/>
      <c r="E94" s="312"/>
      <c r="F94" s="312"/>
      <c r="G94" s="282"/>
      <c r="H94" s="216"/>
      <c r="I94" s="216"/>
      <c r="J94" s="42">
        <f>J92+J93</f>
        <v>7.7327655555555555E-2</v>
      </c>
      <c r="K94" s="41">
        <f>SUM(K86:K91,K93:K93)</f>
        <v>183.88207180488891</v>
      </c>
      <c r="L94" s="11"/>
      <c r="M94" s="11"/>
    </row>
    <row r="95" spans="1:42" ht="15" customHeight="1" x14ac:dyDescent="0.25">
      <c r="A95" s="309"/>
      <c r="B95" s="309"/>
      <c r="C95" s="309"/>
      <c r="D95" s="309"/>
      <c r="E95" s="309"/>
      <c r="F95" s="309"/>
      <c r="G95" s="309"/>
      <c r="H95" s="309"/>
      <c r="I95" s="309"/>
      <c r="J95" s="309"/>
      <c r="K95" s="309"/>
      <c r="L95" s="11"/>
      <c r="M95" s="11"/>
    </row>
    <row r="96" spans="1:42" ht="15" customHeight="1" x14ac:dyDescent="0.25">
      <c r="A96" s="310" t="s">
        <v>71</v>
      </c>
      <c r="B96" s="310"/>
      <c r="C96" s="310"/>
      <c r="D96" s="310"/>
      <c r="E96" s="310"/>
      <c r="F96" s="310"/>
      <c r="G96" s="310"/>
      <c r="H96" s="310"/>
      <c r="I96" s="310"/>
      <c r="J96" s="310"/>
      <c r="K96" s="310"/>
      <c r="L96" s="11"/>
      <c r="M96" s="11"/>
    </row>
    <row r="97" spans="1:14" ht="15" customHeight="1" x14ac:dyDescent="0.25">
      <c r="A97" s="311"/>
      <c r="B97" s="311"/>
      <c r="C97" s="311"/>
      <c r="D97" s="311"/>
      <c r="E97" s="311"/>
      <c r="F97" s="311"/>
      <c r="G97" s="311"/>
      <c r="H97" s="311"/>
      <c r="I97" s="311"/>
      <c r="J97" s="311"/>
      <c r="K97" s="311"/>
      <c r="L97" s="11"/>
      <c r="M97" s="11"/>
    </row>
    <row r="98" spans="1:14" ht="15" customHeight="1" x14ac:dyDescent="0.25">
      <c r="A98" s="39">
        <v>4</v>
      </c>
      <c r="B98" s="99" t="s">
        <v>70</v>
      </c>
      <c r="C98" s="100"/>
      <c r="D98" s="100"/>
      <c r="E98" s="100"/>
      <c r="F98" s="100"/>
      <c r="G98" s="100"/>
      <c r="H98" s="100"/>
      <c r="I98" s="100"/>
      <c r="J98" s="312" t="s">
        <v>10</v>
      </c>
      <c r="K98" s="282"/>
      <c r="L98" s="199"/>
      <c r="M98" s="11"/>
    </row>
    <row r="99" spans="1:14" ht="15" customHeight="1" x14ac:dyDescent="0.25">
      <c r="A99" s="24" t="s">
        <v>17</v>
      </c>
      <c r="B99" s="97" t="s">
        <v>69</v>
      </c>
      <c r="C99" s="98"/>
      <c r="D99" s="98"/>
      <c r="E99" s="98"/>
      <c r="F99" s="98"/>
      <c r="G99" s="98"/>
      <c r="H99" s="98"/>
      <c r="I99" s="98"/>
      <c r="J99" s="313">
        <f>K94</f>
        <v>183.88207180488891</v>
      </c>
      <c r="K99" s="314"/>
      <c r="L99" s="200"/>
      <c r="M99" s="11"/>
    </row>
    <row r="100" spans="1:14" ht="15" customHeight="1" x14ac:dyDescent="0.25">
      <c r="A100" s="60" t="s">
        <v>68</v>
      </c>
      <c r="B100" s="59"/>
      <c r="C100" s="59"/>
      <c r="D100" s="59"/>
      <c r="E100" s="59"/>
      <c r="F100" s="59"/>
      <c r="G100" s="59"/>
      <c r="H100" s="59"/>
      <c r="I100" s="59"/>
      <c r="J100" s="315">
        <f>SUM(J99:L99)</f>
        <v>183.88207180488891</v>
      </c>
      <c r="K100" s="316"/>
      <c r="L100" s="201"/>
      <c r="M100" s="11"/>
    </row>
    <row r="101" spans="1:14" ht="15" customHeight="1" x14ac:dyDescent="0.25">
      <c r="A101" s="306"/>
      <c r="B101" s="306"/>
      <c r="C101" s="306"/>
      <c r="D101" s="306"/>
      <c r="E101" s="306"/>
      <c r="F101" s="306"/>
      <c r="G101" s="306"/>
      <c r="H101" s="306"/>
      <c r="I101" s="306"/>
      <c r="J101" s="306"/>
      <c r="K101" s="306"/>
      <c r="L101" s="11"/>
      <c r="M101" s="11"/>
    </row>
    <row r="102" spans="1:14" ht="15" customHeight="1" x14ac:dyDescent="0.25">
      <c r="A102" s="286" t="s">
        <v>67</v>
      </c>
      <c r="B102" s="287"/>
      <c r="C102" s="287"/>
      <c r="D102" s="287"/>
      <c r="E102" s="287"/>
      <c r="F102" s="287"/>
      <c r="G102" s="287"/>
      <c r="H102" s="287"/>
      <c r="I102" s="287"/>
      <c r="J102" s="287"/>
      <c r="K102" s="288"/>
      <c r="L102" s="11"/>
      <c r="M102" s="11"/>
    </row>
    <row r="103" spans="1:14" ht="15" customHeight="1" x14ac:dyDescent="0.25">
      <c r="A103" s="40">
        <v>5</v>
      </c>
      <c r="B103" s="307" t="s">
        <v>13</v>
      </c>
      <c r="C103" s="307"/>
      <c r="D103" s="307"/>
      <c r="E103" s="307"/>
      <c r="F103" s="307"/>
      <c r="G103" s="307"/>
      <c r="H103" s="215"/>
      <c r="I103" s="215"/>
      <c r="J103" s="308" t="s">
        <v>10</v>
      </c>
      <c r="K103" s="308"/>
      <c r="L103" s="11"/>
      <c r="M103" s="11"/>
    </row>
    <row r="104" spans="1:14" ht="15" customHeight="1" x14ac:dyDescent="0.25">
      <c r="A104" s="24" t="s">
        <v>2</v>
      </c>
      <c r="B104" s="301" t="s">
        <v>14</v>
      </c>
      <c r="C104" s="302"/>
      <c r="D104" s="302"/>
      <c r="E104" s="302"/>
      <c r="F104" s="302"/>
      <c r="G104" s="303"/>
      <c r="H104" s="214"/>
      <c r="I104" s="214"/>
      <c r="J104" s="300">
        <f>Uniformes!I21</f>
        <v>264.22733333333332</v>
      </c>
      <c r="K104" s="300"/>
      <c r="L104" s="11"/>
      <c r="M104" s="11"/>
    </row>
    <row r="105" spans="1:14" ht="15" customHeight="1" x14ac:dyDescent="0.25">
      <c r="A105" s="24" t="s">
        <v>3</v>
      </c>
      <c r="B105" s="297" t="s">
        <v>16</v>
      </c>
      <c r="C105" s="298"/>
      <c r="D105" s="298"/>
      <c r="E105" s="298"/>
      <c r="F105" s="298"/>
      <c r="G105" s="299"/>
      <c r="H105" s="212"/>
      <c r="I105" s="212"/>
      <c r="J105" s="300">
        <f>'Insumos e Equipamentos'!N19</f>
        <v>25.197484444444445</v>
      </c>
      <c r="K105" s="300"/>
      <c r="L105" s="11"/>
      <c r="M105" s="11"/>
    </row>
    <row r="106" spans="1:14" ht="15" customHeight="1" x14ac:dyDescent="0.25">
      <c r="A106" s="24" t="s">
        <v>4</v>
      </c>
      <c r="B106" s="301" t="s">
        <v>15</v>
      </c>
      <c r="C106" s="302"/>
      <c r="D106" s="302"/>
      <c r="E106" s="302"/>
      <c r="F106" s="302"/>
      <c r="G106" s="303"/>
      <c r="H106" s="214"/>
      <c r="I106" s="214"/>
      <c r="J106" s="300">
        <f>'Insumos e Equipamentos'!J12</f>
        <v>53.792672777777774</v>
      </c>
      <c r="K106" s="300"/>
      <c r="L106" s="11"/>
      <c r="M106" s="11"/>
    </row>
    <row r="107" spans="1:14" ht="15" customHeight="1" x14ac:dyDescent="0.25">
      <c r="A107" s="24" t="s">
        <v>5</v>
      </c>
      <c r="B107" s="301" t="s">
        <v>100</v>
      </c>
      <c r="C107" s="302"/>
      <c r="D107" s="302"/>
      <c r="E107" s="302"/>
      <c r="F107" s="302"/>
      <c r="G107" s="303"/>
      <c r="H107" s="213"/>
      <c r="I107" s="213"/>
      <c r="J107" s="304"/>
      <c r="K107" s="305"/>
      <c r="L107" s="11"/>
      <c r="M107" s="11"/>
    </row>
    <row r="108" spans="1:14" ht="15" customHeight="1" x14ac:dyDescent="0.25">
      <c r="A108" s="278" t="s">
        <v>37</v>
      </c>
      <c r="B108" s="278"/>
      <c r="C108" s="278"/>
      <c r="D108" s="278"/>
      <c r="E108" s="278"/>
      <c r="F108" s="278"/>
      <c r="G108" s="278"/>
      <c r="H108" s="39"/>
      <c r="I108" s="39"/>
      <c r="J108" s="289">
        <f>SUM(J104:K106)</f>
        <v>343.21749055555557</v>
      </c>
      <c r="K108" s="289"/>
      <c r="L108" s="11"/>
      <c r="M108" s="11"/>
    </row>
    <row r="109" spans="1:14" ht="15" customHeight="1" x14ac:dyDescent="0.25">
      <c r="A109" s="295"/>
      <c r="B109" s="295"/>
      <c r="C109" s="295"/>
      <c r="D109" s="295"/>
      <c r="E109" s="295"/>
      <c r="F109" s="295"/>
      <c r="G109" s="295"/>
      <c r="H109" s="295"/>
      <c r="I109" s="295"/>
      <c r="J109" s="295"/>
      <c r="K109" s="295"/>
      <c r="L109" s="11"/>
      <c r="M109" s="11"/>
    </row>
    <row r="110" spans="1:14" ht="15" customHeight="1" x14ac:dyDescent="0.25">
      <c r="A110" s="286" t="s">
        <v>65</v>
      </c>
      <c r="B110" s="287"/>
      <c r="C110" s="287"/>
      <c r="D110" s="287"/>
      <c r="E110" s="287"/>
      <c r="F110" s="287"/>
      <c r="G110" s="287"/>
      <c r="H110" s="287"/>
      <c r="I110" s="287"/>
      <c r="J110" s="287"/>
      <c r="K110" s="288"/>
      <c r="L110" s="11"/>
      <c r="M110" s="11"/>
    </row>
    <row r="111" spans="1:14" ht="15" customHeight="1" x14ac:dyDescent="0.25">
      <c r="A111" s="39">
        <v>6</v>
      </c>
      <c r="B111" s="296" t="s">
        <v>27</v>
      </c>
      <c r="C111" s="296"/>
      <c r="D111" s="296"/>
      <c r="E111" s="296"/>
      <c r="F111" s="296"/>
      <c r="G111" s="296"/>
      <c r="H111" s="211"/>
      <c r="I111" s="211"/>
      <c r="J111" s="39" t="s">
        <v>64</v>
      </c>
      <c r="K111" s="39" t="s">
        <v>10</v>
      </c>
      <c r="L111" s="11"/>
      <c r="M111" s="11"/>
    </row>
    <row r="112" spans="1:14" ht="15" customHeight="1" x14ac:dyDescent="0.25">
      <c r="A112" s="24" t="s">
        <v>2</v>
      </c>
      <c r="B112" s="276" t="s">
        <v>63</v>
      </c>
      <c r="C112" s="276"/>
      <c r="D112" s="276"/>
      <c r="E112" s="276"/>
      <c r="F112" s="276"/>
      <c r="G112" s="276"/>
      <c r="H112" s="210"/>
      <c r="I112" s="210"/>
      <c r="J112" s="34">
        <v>0.06</v>
      </c>
      <c r="K112" s="35">
        <f>J128*J112</f>
        <v>313.75842590786669</v>
      </c>
      <c r="L112" s="11"/>
      <c r="M112" s="11"/>
      <c r="N112" s="53"/>
    </row>
    <row r="113" spans="1:14" ht="15" customHeight="1" x14ac:dyDescent="0.25">
      <c r="A113" s="24" t="s">
        <v>3</v>
      </c>
      <c r="B113" s="276" t="s">
        <v>28</v>
      </c>
      <c r="C113" s="276"/>
      <c r="D113" s="276"/>
      <c r="E113" s="276"/>
      <c r="F113" s="276"/>
      <c r="G113" s="276"/>
      <c r="H113" s="210"/>
      <c r="I113" s="210"/>
      <c r="J113" s="34">
        <v>6.7900000000000002E-2</v>
      </c>
      <c r="K113" s="35">
        <f>(K112+J128)*J113</f>
        <v>376.37414910488002</v>
      </c>
      <c r="L113" s="11"/>
      <c r="M113" s="11"/>
      <c r="N113" s="52"/>
    </row>
    <row r="114" spans="1:14" ht="15" customHeight="1" x14ac:dyDescent="0.25">
      <c r="A114" s="24" t="s">
        <v>4</v>
      </c>
      <c r="B114" s="276" t="s">
        <v>29</v>
      </c>
      <c r="C114" s="276"/>
      <c r="D114" s="276"/>
      <c r="E114" s="276"/>
      <c r="F114" s="276"/>
      <c r="G114" s="276"/>
      <c r="H114" s="210"/>
      <c r="I114" s="210"/>
      <c r="J114" s="34">
        <f>SUM(J115:J117)</f>
        <v>8.6499999999999994E-2</v>
      </c>
      <c r="K114" s="35"/>
      <c r="L114" s="11"/>
      <c r="M114" s="11"/>
    </row>
    <row r="115" spans="1:14" ht="15" customHeight="1" x14ac:dyDescent="0.25">
      <c r="A115" s="292" t="s">
        <v>62</v>
      </c>
      <c r="B115" s="292"/>
      <c r="C115" s="293" t="s">
        <v>61</v>
      </c>
      <c r="D115" s="25" t="s">
        <v>30</v>
      </c>
      <c r="E115" s="26"/>
      <c r="F115" s="26"/>
      <c r="G115" s="28"/>
      <c r="H115" s="28"/>
      <c r="I115" s="28"/>
      <c r="J115" s="34">
        <v>6.4999999999999997E-3</v>
      </c>
      <c r="K115" s="35">
        <f>((J128+K112+K113)/(1-(J114)))*J115</f>
        <v>42.119713057035305</v>
      </c>
      <c r="L115" s="11"/>
      <c r="M115" s="11"/>
    </row>
    <row r="116" spans="1:14" ht="15" customHeight="1" x14ac:dyDescent="0.25">
      <c r="A116" s="292" t="s">
        <v>60</v>
      </c>
      <c r="B116" s="292"/>
      <c r="C116" s="294"/>
      <c r="D116" s="25" t="s">
        <v>31</v>
      </c>
      <c r="E116" s="26"/>
      <c r="F116" s="26"/>
      <c r="G116" s="28"/>
      <c r="H116" s="28"/>
      <c r="I116" s="28"/>
      <c r="J116" s="34">
        <v>0.03</v>
      </c>
      <c r="K116" s="35">
        <f>((J128+K112+K113)/(1-(J114)))*J116</f>
        <v>194.39867564785524</v>
      </c>
      <c r="L116" s="11"/>
      <c r="M116" s="11"/>
    </row>
    <row r="117" spans="1:14" ht="15" customHeight="1" x14ac:dyDescent="0.25">
      <c r="A117" s="292" t="s">
        <v>59</v>
      </c>
      <c r="B117" s="292"/>
      <c r="C117" s="36" t="s">
        <v>58</v>
      </c>
      <c r="D117" s="25" t="s">
        <v>32</v>
      </c>
      <c r="E117" s="26"/>
      <c r="F117" s="26"/>
      <c r="G117" s="28"/>
      <c r="H117" s="28"/>
      <c r="I117" s="28"/>
      <c r="J117" s="34">
        <v>0.05</v>
      </c>
      <c r="K117" s="35">
        <f>((J128+K112+K113)/(1-(J114)))*J117</f>
        <v>323.99779274642543</v>
      </c>
      <c r="L117" s="11"/>
      <c r="M117" s="11"/>
    </row>
    <row r="118" spans="1:14" ht="15" customHeight="1" x14ac:dyDescent="0.25">
      <c r="A118" s="278" t="s">
        <v>37</v>
      </c>
      <c r="B118" s="278"/>
      <c r="C118" s="278"/>
      <c r="D118" s="278"/>
      <c r="E118" s="278"/>
      <c r="F118" s="278"/>
      <c r="G118" s="278"/>
      <c r="H118" s="39"/>
      <c r="I118" s="39"/>
      <c r="J118" s="38">
        <f>J114+J113+J112</f>
        <v>0.21439999999999998</v>
      </c>
      <c r="K118" s="37">
        <f>J128*J118</f>
        <v>1121.163441910777</v>
      </c>
      <c r="L118" s="11"/>
      <c r="M118" s="11"/>
    </row>
    <row r="119" spans="1:14" ht="15" customHeight="1" x14ac:dyDescent="0.25">
      <c r="A119" s="290"/>
      <c r="B119" s="290"/>
      <c r="C119" s="290"/>
      <c r="D119" s="290"/>
      <c r="E119" s="290"/>
      <c r="F119" s="290"/>
      <c r="G119" s="290"/>
      <c r="H119" s="290"/>
      <c r="I119" s="290"/>
      <c r="J119" s="290"/>
      <c r="K119" s="290"/>
      <c r="L119" s="11"/>
      <c r="M119" s="11"/>
    </row>
    <row r="120" spans="1:14" ht="15" customHeight="1" x14ac:dyDescent="0.25">
      <c r="A120" s="285" t="s">
        <v>33</v>
      </c>
      <c r="B120" s="285"/>
      <c r="C120" s="285"/>
      <c r="D120" s="285"/>
      <c r="E120" s="285"/>
      <c r="F120" s="285"/>
      <c r="G120" s="285"/>
      <c r="H120" s="285"/>
      <c r="I120" s="285"/>
      <c r="J120" s="285"/>
      <c r="K120" s="285"/>
      <c r="L120" s="11"/>
      <c r="M120" s="11"/>
    </row>
    <row r="121" spans="1:14" ht="15" customHeight="1" x14ac:dyDescent="0.25">
      <c r="A121" s="291"/>
      <c r="B121" s="291"/>
      <c r="C121" s="291"/>
      <c r="D121" s="291"/>
      <c r="E121" s="291"/>
      <c r="F121" s="291"/>
      <c r="G121" s="291"/>
      <c r="H121" s="291"/>
      <c r="I121" s="291"/>
      <c r="J121" s="291"/>
      <c r="K121" s="291"/>
      <c r="L121" s="11"/>
      <c r="M121" s="11"/>
    </row>
    <row r="122" spans="1:14" ht="15" customHeight="1" x14ac:dyDescent="0.25">
      <c r="A122" s="278" t="s">
        <v>57</v>
      </c>
      <c r="B122" s="278"/>
      <c r="C122" s="278"/>
      <c r="D122" s="278"/>
      <c r="E122" s="278"/>
      <c r="F122" s="278"/>
      <c r="G122" s="278"/>
      <c r="H122" s="39"/>
      <c r="I122" s="39"/>
      <c r="J122" s="278" t="s">
        <v>10</v>
      </c>
      <c r="K122" s="278"/>
      <c r="L122" s="11"/>
      <c r="M122" s="11"/>
    </row>
    <row r="123" spans="1:14" ht="15" customHeight="1" x14ac:dyDescent="0.25">
      <c r="A123" s="24" t="s">
        <v>2</v>
      </c>
      <c r="B123" s="276" t="s">
        <v>34</v>
      </c>
      <c r="C123" s="276"/>
      <c r="D123" s="276"/>
      <c r="E123" s="276"/>
      <c r="F123" s="276"/>
      <c r="G123" s="276"/>
      <c r="H123" s="210"/>
      <c r="I123" s="210"/>
      <c r="J123" s="277">
        <f>J34</f>
        <v>2377.96</v>
      </c>
      <c r="K123" s="277"/>
      <c r="L123" s="11"/>
      <c r="M123" s="11"/>
    </row>
    <row r="124" spans="1:14" ht="15" customHeight="1" x14ac:dyDescent="0.25">
      <c r="A124" s="24" t="s">
        <v>3</v>
      </c>
      <c r="B124" s="276" t="s">
        <v>56</v>
      </c>
      <c r="C124" s="276"/>
      <c r="D124" s="276"/>
      <c r="E124" s="276"/>
      <c r="F124" s="276"/>
      <c r="G124" s="276"/>
      <c r="H124" s="210"/>
      <c r="I124" s="210"/>
      <c r="J124" s="277">
        <f>J71</f>
        <v>2162.4392479040002</v>
      </c>
      <c r="K124" s="277"/>
      <c r="L124" s="11"/>
      <c r="M124" s="11"/>
    </row>
    <row r="125" spans="1:14" ht="15" customHeight="1" x14ac:dyDescent="0.25">
      <c r="A125" s="24" t="s">
        <v>4</v>
      </c>
      <c r="B125" s="276" t="s">
        <v>55</v>
      </c>
      <c r="C125" s="276"/>
      <c r="D125" s="276"/>
      <c r="E125" s="276"/>
      <c r="F125" s="276"/>
      <c r="G125" s="276"/>
      <c r="H125" s="210"/>
      <c r="I125" s="210"/>
      <c r="J125" s="277">
        <f>J81</f>
        <v>161.80828819999999</v>
      </c>
      <c r="K125" s="277"/>
      <c r="L125" s="11"/>
      <c r="M125" s="11"/>
    </row>
    <row r="126" spans="1:14" ht="15" customHeight="1" x14ac:dyDescent="0.25">
      <c r="A126" s="24" t="s">
        <v>5</v>
      </c>
      <c r="B126" s="276" t="s">
        <v>54</v>
      </c>
      <c r="C126" s="276"/>
      <c r="D126" s="276"/>
      <c r="E126" s="276"/>
      <c r="F126" s="276"/>
      <c r="G126" s="276"/>
      <c r="H126" s="210"/>
      <c r="I126" s="210"/>
      <c r="J126" s="277">
        <f>J100</f>
        <v>183.88207180488891</v>
      </c>
      <c r="K126" s="277"/>
      <c r="L126" s="11"/>
      <c r="M126" s="11"/>
    </row>
    <row r="127" spans="1:14" ht="15" customHeight="1" x14ac:dyDescent="0.25">
      <c r="A127" s="24" t="s">
        <v>11</v>
      </c>
      <c r="B127" s="276" t="s">
        <v>53</v>
      </c>
      <c r="C127" s="276"/>
      <c r="D127" s="276"/>
      <c r="E127" s="276"/>
      <c r="F127" s="276"/>
      <c r="G127" s="276"/>
      <c r="H127" s="210"/>
      <c r="I127" s="210"/>
      <c r="J127" s="277">
        <f>J108</f>
        <v>343.21749055555557</v>
      </c>
      <c r="K127" s="277"/>
      <c r="L127" s="11"/>
      <c r="M127" s="11"/>
    </row>
    <row r="128" spans="1:14" ht="15" customHeight="1" x14ac:dyDescent="0.25">
      <c r="A128" s="278" t="s">
        <v>52</v>
      </c>
      <c r="B128" s="278"/>
      <c r="C128" s="278"/>
      <c r="D128" s="278"/>
      <c r="E128" s="278"/>
      <c r="F128" s="278"/>
      <c r="G128" s="278"/>
      <c r="H128" s="39"/>
      <c r="I128" s="39"/>
      <c r="J128" s="289">
        <f>SUM(J123:K127)</f>
        <v>5229.3070984644455</v>
      </c>
      <c r="K128" s="289"/>
      <c r="L128" s="11"/>
      <c r="M128" s="11"/>
    </row>
    <row r="129" spans="1:13" ht="15" customHeight="1" x14ac:dyDescent="0.25">
      <c r="A129" s="24" t="s">
        <v>12</v>
      </c>
      <c r="B129" s="276" t="s">
        <v>51</v>
      </c>
      <c r="C129" s="276"/>
      <c r="D129" s="276"/>
      <c r="E129" s="276"/>
      <c r="F129" s="276"/>
      <c r="G129" s="276"/>
      <c r="H129" s="210"/>
      <c r="I129" s="210"/>
      <c r="J129" s="277">
        <f>K118</f>
        <v>1121.163441910777</v>
      </c>
      <c r="K129" s="277"/>
      <c r="L129" s="11"/>
      <c r="M129" s="11"/>
    </row>
    <row r="130" spans="1:13" ht="15" customHeight="1" x14ac:dyDescent="0.25">
      <c r="A130" s="278" t="s">
        <v>50</v>
      </c>
      <c r="B130" s="278"/>
      <c r="C130" s="278"/>
      <c r="D130" s="278"/>
      <c r="E130" s="278"/>
      <c r="F130" s="278"/>
      <c r="G130" s="278"/>
      <c r="H130" s="39"/>
      <c r="I130" s="39"/>
      <c r="J130" s="395">
        <f>SUM(J128:J129)+J138</f>
        <v>6388.4435695308321</v>
      </c>
      <c r="K130" s="395"/>
      <c r="L130" s="11"/>
      <c r="M130" s="11"/>
    </row>
    <row r="131" spans="1:13" ht="15" hidden="1" customHeight="1" x14ac:dyDescent="0.25">
      <c r="K131" s="206">
        <f>J130</f>
        <v>6388.4435695308321</v>
      </c>
      <c r="M131" s="46"/>
    </row>
    <row r="132" spans="1:13" ht="15" customHeight="1" x14ac:dyDescent="0.25">
      <c r="A132" s="285" t="s">
        <v>150</v>
      </c>
      <c r="B132" s="285"/>
      <c r="C132" s="285"/>
      <c r="D132" s="285"/>
      <c r="E132" s="285"/>
      <c r="F132" s="285"/>
      <c r="G132" s="285"/>
      <c r="H132" s="285"/>
      <c r="I132" s="285"/>
      <c r="J132" s="285"/>
      <c r="K132" s="285"/>
    </row>
    <row r="133" spans="1:13" ht="15" customHeight="1" x14ac:dyDescent="0.25">
      <c r="A133" s="286" t="s">
        <v>282</v>
      </c>
      <c r="B133" s="287"/>
      <c r="C133" s="287"/>
      <c r="D133" s="287"/>
      <c r="E133" s="287"/>
      <c r="F133" s="287"/>
      <c r="G133" s="287"/>
      <c r="H133" s="287"/>
      <c r="I133" s="287"/>
      <c r="J133" s="287"/>
      <c r="K133" s="288"/>
    </row>
    <row r="134" spans="1:13" ht="15" customHeight="1" x14ac:dyDescent="0.25">
      <c r="A134" s="278" t="s">
        <v>151</v>
      </c>
      <c r="B134" s="278"/>
      <c r="C134" s="278"/>
      <c r="D134" s="278"/>
      <c r="E134" s="278"/>
      <c r="F134" s="278"/>
      <c r="G134" s="278"/>
      <c r="H134" s="281" t="s">
        <v>319</v>
      </c>
      <c r="I134" s="282"/>
      <c r="J134" s="278" t="s">
        <v>10</v>
      </c>
      <c r="K134" s="278"/>
      <c r="L134" s="11"/>
      <c r="M134" s="11"/>
    </row>
    <row r="135" spans="1:13" ht="15" customHeight="1" x14ac:dyDescent="0.25">
      <c r="A135" s="24" t="s">
        <v>2</v>
      </c>
      <c r="B135" s="276" t="s">
        <v>278</v>
      </c>
      <c r="C135" s="276"/>
      <c r="D135" s="276"/>
      <c r="E135" s="276"/>
      <c r="F135" s="276"/>
      <c r="G135" s="276"/>
      <c r="H135" s="283">
        <v>8.3299999999999999E-2</v>
      </c>
      <c r="I135" s="284"/>
      <c r="J135" s="277">
        <f>K38</f>
        <v>198.084068</v>
      </c>
      <c r="K135" s="277"/>
      <c r="L135" s="11"/>
      <c r="M135" s="11"/>
    </row>
    <row r="136" spans="1:13" ht="15" customHeight="1" x14ac:dyDescent="0.25">
      <c r="A136" s="24" t="s">
        <v>3</v>
      </c>
      <c r="B136" s="276" t="s">
        <v>279</v>
      </c>
      <c r="C136" s="276"/>
      <c r="D136" s="276"/>
      <c r="E136" s="276"/>
      <c r="F136" s="276"/>
      <c r="G136" s="276"/>
      <c r="H136" s="283">
        <v>0.121</v>
      </c>
      <c r="I136" s="284"/>
      <c r="J136" s="277">
        <f>K39</f>
        <v>287.73316</v>
      </c>
      <c r="K136" s="277"/>
      <c r="L136" s="11"/>
      <c r="M136" s="11"/>
    </row>
    <row r="137" spans="1:13" ht="15" customHeight="1" x14ac:dyDescent="0.25">
      <c r="A137" s="24" t="s">
        <v>4</v>
      </c>
      <c r="B137" s="276" t="s">
        <v>320</v>
      </c>
      <c r="C137" s="276"/>
      <c r="D137" s="276"/>
      <c r="E137" s="276"/>
      <c r="F137" s="276"/>
      <c r="G137" s="276"/>
      <c r="H137" s="283">
        <v>0.04</v>
      </c>
      <c r="I137" s="284"/>
      <c r="J137" s="277">
        <f>(J77+J80)*(J26+J27+J30)</f>
        <v>95.118400000000008</v>
      </c>
      <c r="K137" s="277"/>
      <c r="L137" s="11"/>
      <c r="M137" s="11"/>
    </row>
    <row r="138" spans="1:13" ht="15" customHeight="1" x14ac:dyDescent="0.25">
      <c r="A138" s="24" t="s">
        <v>5</v>
      </c>
      <c r="B138" s="276" t="s">
        <v>280</v>
      </c>
      <c r="C138" s="276"/>
      <c r="D138" s="276"/>
      <c r="E138" s="276"/>
      <c r="F138" s="276"/>
      <c r="G138" s="276"/>
      <c r="H138" s="283">
        <f>(0.368-0.03+J45)*0.2124</f>
        <v>7.8163200000000002E-2</v>
      </c>
      <c r="I138" s="284"/>
      <c r="J138" s="277">
        <f>(J51*(J40+0.81%))*K40</f>
        <v>37.973029155609602</v>
      </c>
      <c r="K138" s="277"/>
      <c r="L138" s="11"/>
      <c r="M138" s="11"/>
    </row>
    <row r="139" spans="1:13" ht="15" customHeight="1" x14ac:dyDescent="0.25">
      <c r="A139" s="278" t="s">
        <v>152</v>
      </c>
      <c r="B139" s="278"/>
      <c r="C139" s="278"/>
      <c r="D139" s="278"/>
      <c r="E139" s="278"/>
      <c r="F139" s="278"/>
      <c r="G139" s="278"/>
      <c r="H139" s="235" t="s">
        <v>323</v>
      </c>
      <c r="I139" s="236">
        <f>SUM(H135,H136,H137,H138)</f>
        <v>0.32246320000000001</v>
      </c>
      <c r="J139" s="395">
        <f>SUM(J135:K138)</f>
        <v>618.9086571556096</v>
      </c>
      <c r="K139" s="395"/>
      <c r="L139" s="11"/>
      <c r="M139" s="11"/>
    </row>
    <row r="140" spans="1:13" ht="15" customHeight="1" x14ac:dyDescent="0.25">
      <c r="K140" s="206">
        <f>J139</f>
        <v>618.9086571556096</v>
      </c>
    </row>
  </sheetData>
  <mergeCells count="197">
    <mergeCell ref="A1:K1"/>
    <mergeCell ref="A2:K2"/>
    <mergeCell ref="C3:K3"/>
    <mergeCell ref="C4:D4"/>
    <mergeCell ref="A6:K6"/>
    <mergeCell ref="A7:K7"/>
    <mergeCell ref="B29:G29"/>
    <mergeCell ref="J29:K29"/>
    <mergeCell ref="G11:K11"/>
    <mergeCell ref="A12:K12"/>
    <mergeCell ref="B13:G13"/>
    <mergeCell ref="J13:K13"/>
    <mergeCell ref="B14:G14"/>
    <mergeCell ref="J14:K14"/>
    <mergeCell ref="B8:F8"/>
    <mergeCell ref="G8:K8"/>
    <mergeCell ref="B9:F9"/>
    <mergeCell ref="G9:K9"/>
    <mergeCell ref="B10:F10"/>
    <mergeCell ref="G10:K10"/>
    <mergeCell ref="B20:G20"/>
    <mergeCell ref="J20:K20"/>
    <mergeCell ref="B21:G21"/>
    <mergeCell ref="J21:K21"/>
    <mergeCell ref="B22:G22"/>
    <mergeCell ref="J22:K22"/>
    <mergeCell ref="C15:K15"/>
    <mergeCell ref="A16:K16"/>
    <mergeCell ref="A17:K17"/>
    <mergeCell ref="A18:K18"/>
    <mergeCell ref="B19:G19"/>
    <mergeCell ref="J19:K19"/>
    <mergeCell ref="J27:K27"/>
    <mergeCell ref="F28:G28"/>
    <mergeCell ref="J28:K28"/>
    <mergeCell ref="B30:G30"/>
    <mergeCell ref="J30:K30"/>
    <mergeCell ref="B31:G31"/>
    <mergeCell ref="J31:K31"/>
    <mergeCell ref="B23:G23"/>
    <mergeCell ref="J23:K23"/>
    <mergeCell ref="A24:K24"/>
    <mergeCell ref="B25:G25"/>
    <mergeCell ref="J25:K25"/>
    <mergeCell ref="B26:G26"/>
    <mergeCell ref="J26:K26"/>
    <mergeCell ref="A34:G34"/>
    <mergeCell ref="J34:K34"/>
    <mergeCell ref="A35:K35"/>
    <mergeCell ref="A36:K36"/>
    <mergeCell ref="B37:G37"/>
    <mergeCell ref="B38:G38"/>
    <mergeCell ref="B32:G32"/>
    <mergeCell ref="J32:K32"/>
    <mergeCell ref="M32:U32"/>
    <mergeCell ref="B33:G33"/>
    <mergeCell ref="J33:K33"/>
    <mergeCell ref="M33:Q33"/>
    <mergeCell ref="B46:G46"/>
    <mergeCell ref="B47:G47"/>
    <mergeCell ref="B48:G48"/>
    <mergeCell ref="B49:G49"/>
    <mergeCell ref="B50:G50"/>
    <mergeCell ref="A51:G51"/>
    <mergeCell ref="B39:G39"/>
    <mergeCell ref="A41:K41"/>
    <mergeCell ref="B42:G42"/>
    <mergeCell ref="B43:G43"/>
    <mergeCell ref="B44:G44"/>
    <mergeCell ref="B45:G45"/>
    <mergeCell ref="M56:N56"/>
    <mergeCell ref="M57:N57"/>
    <mergeCell ref="B58:C58"/>
    <mergeCell ref="J58:K58"/>
    <mergeCell ref="A52:K52"/>
    <mergeCell ref="B53:G53"/>
    <mergeCell ref="J53:K53"/>
    <mergeCell ref="M53:N53"/>
    <mergeCell ref="A54:A55"/>
    <mergeCell ref="B54:B55"/>
    <mergeCell ref="J54:K54"/>
    <mergeCell ref="M54:N54"/>
    <mergeCell ref="J55:K55"/>
    <mergeCell ref="M55:N55"/>
    <mergeCell ref="B59:G59"/>
    <mergeCell ref="J59:K59"/>
    <mergeCell ref="B60:G60"/>
    <mergeCell ref="J60:K60"/>
    <mergeCell ref="J62:K62"/>
    <mergeCell ref="A63:G63"/>
    <mergeCell ref="J63:K63"/>
    <mergeCell ref="A56:A57"/>
    <mergeCell ref="B56:C57"/>
    <mergeCell ref="J56:K57"/>
    <mergeCell ref="B69:G69"/>
    <mergeCell ref="J69:K69"/>
    <mergeCell ref="B70:G70"/>
    <mergeCell ref="J70:K70"/>
    <mergeCell ref="A71:G71"/>
    <mergeCell ref="J71:K71"/>
    <mergeCell ref="A64:K64"/>
    <mergeCell ref="A65:K65"/>
    <mergeCell ref="A66:K66"/>
    <mergeCell ref="B67:G67"/>
    <mergeCell ref="J67:K67"/>
    <mergeCell ref="B68:G68"/>
    <mergeCell ref="J68:K68"/>
    <mergeCell ref="M77:AB77"/>
    <mergeCell ref="B78:G78"/>
    <mergeCell ref="M79:P79"/>
    <mergeCell ref="M80:Q80"/>
    <mergeCell ref="J81:K81"/>
    <mergeCell ref="A82:K82"/>
    <mergeCell ref="M82:AB82"/>
    <mergeCell ref="A72:K72"/>
    <mergeCell ref="A73:K73"/>
    <mergeCell ref="M73:P73"/>
    <mergeCell ref="M74:P74"/>
    <mergeCell ref="B75:G75"/>
    <mergeCell ref="M75:AC75"/>
    <mergeCell ref="A95:K95"/>
    <mergeCell ref="A96:K96"/>
    <mergeCell ref="A97:K97"/>
    <mergeCell ref="J98:K98"/>
    <mergeCell ref="J99:K99"/>
    <mergeCell ref="J100:K100"/>
    <mergeCell ref="A83:K83"/>
    <mergeCell ref="A84:K84"/>
    <mergeCell ref="M84:AP84"/>
    <mergeCell ref="B85:G85"/>
    <mergeCell ref="B92:G92"/>
    <mergeCell ref="A94:G94"/>
    <mergeCell ref="B105:G105"/>
    <mergeCell ref="J105:K105"/>
    <mergeCell ref="B106:G106"/>
    <mergeCell ref="J106:K106"/>
    <mergeCell ref="B107:G107"/>
    <mergeCell ref="J107:K107"/>
    <mergeCell ref="A101:K101"/>
    <mergeCell ref="A102:K102"/>
    <mergeCell ref="B103:G103"/>
    <mergeCell ref="J103:K103"/>
    <mergeCell ref="B104:G104"/>
    <mergeCell ref="J104:K104"/>
    <mergeCell ref="B113:G113"/>
    <mergeCell ref="B114:G114"/>
    <mergeCell ref="A115:B115"/>
    <mergeCell ref="C115:C116"/>
    <mergeCell ref="A116:B116"/>
    <mergeCell ref="A117:B117"/>
    <mergeCell ref="A108:G108"/>
    <mergeCell ref="J108:K108"/>
    <mergeCell ref="A109:K109"/>
    <mergeCell ref="A110:K110"/>
    <mergeCell ref="B111:G111"/>
    <mergeCell ref="B112:G112"/>
    <mergeCell ref="B123:G123"/>
    <mergeCell ref="J123:K123"/>
    <mergeCell ref="B124:G124"/>
    <mergeCell ref="J124:K124"/>
    <mergeCell ref="B125:G125"/>
    <mergeCell ref="J125:K125"/>
    <mergeCell ref="A118:G118"/>
    <mergeCell ref="A119:K119"/>
    <mergeCell ref="A120:K120"/>
    <mergeCell ref="A121:K121"/>
    <mergeCell ref="A122:G122"/>
    <mergeCell ref="J122:K122"/>
    <mergeCell ref="B129:G129"/>
    <mergeCell ref="J129:K129"/>
    <mergeCell ref="A130:G130"/>
    <mergeCell ref="J130:K130"/>
    <mergeCell ref="A132:K132"/>
    <mergeCell ref="A133:K133"/>
    <mergeCell ref="B126:G126"/>
    <mergeCell ref="J126:K126"/>
    <mergeCell ref="B127:G127"/>
    <mergeCell ref="J127:K127"/>
    <mergeCell ref="A128:G128"/>
    <mergeCell ref="J128:K128"/>
    <mergeCell ref="B137:G137"/>
    <mergeCell ref="J137:K137"/>
    <mergeCell ref="B138:G138"/>
    <mergeCell ref="J138:K138"/>
    <mergeCell ref="A139:G139"/>
    <mergeCell ref="J139:K139"/>
    <mergeCell ref="A134:G134"/>
    <mergeCell ref="J134:K134"/>
    <mergeCell ref="B135:G135"/>
    <mergeCell ref="J135:K135"/>
    <mergeCell ref="B136:G136"/>
    <mergeCell ref="J136:K136"/>
    <mergeCell ref="H134:I134"/>
    <mergeCell ref="H135:I135"/>
    <mergeCell ref="H136:I136"/>
    <mergeCell ref="H137:I137"/>
    <mergeCell ref="H138:I138"/>
  </mergeCells>
  <dataValidations count="1">
    <dataValidation allowBlank="1" sqref="A1 A120" xr:uid="{06778D66-2C6D-44BD-B99D-1E6440F5F4F3}"/>
  </dataValidations>
  <printOptions horizontalCentered="1"/>
  <pageMargins left="7.874015748031496E-2" right="7.874015748031496E-2" top="1.7716535433070868" bottom="1.3779527559055118" header="0.31496062992125984" footer="0.31496062992125984"/>
  <pageSetup paperSize="9" scale="83" orientation="portrait" r:id="rId1"/>
  <rowBreaks count="2" manualBreakCount="2">
    <brk id="48" max="8" man="1"/>
    <brk id="101"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B5F751-B639-45D1-A866-2F8462031F3F}">
  <sheetPr>
    <tabColor theme="9" tint="0.59999389629810485"/>
  </sheetPr>
  <dimension ref="A1:AP140"/>
  <sheetViews>
    <sheetView showGridLines="0" topLeftCell="A81" zoomScale="120" zoomScaleNormal="120" zoomScaleSheetLayoutView="100" workbookViewId="0">
      <selection activeCell="J93" sqref="J93"/>
    </sheetView>
  </sheetViews>
  <sheetFormatPr defaultRowHeight="15" customHeight="1" x14ac:dyDescent="0.25"/>
  <cols>
    <col min="1" max="1" width="3.140625" style="8" customWidth="1"/>
    <col min="2" max="2" width="16.5703125" style="7" customWidth="1"/>
    <col min="3" max="3" width="17.85546875" style="7" customWidth="1"/>
    <col min="4" max="4" width="11.85546875" style="7" customWidth="1"/>
    <col min="5" max="5" width="12.85546875" style="7" bestFit="1" customWidth="1"/>
    <col min="6" max="6" width="12.140625" style="7" customWidth="1"/>
    <col min="7" max="7" width="14.42578125" style="7" bestFit="1" customWidth="1"/>
    <col min="8" max="9" width="14.42578125" style="7" customWidth="1"/>
    <col min="10" max="10" width="10.28515625" style="7" customWidth="1"/>
    <col min="11" max="11" width="14.140625" style="7" bestFit="1" customWidth="1"/>
    <col min="12" max="12" width="8.42578125" style="6" customWidth="1"/>
    <col min="13" max="13" width="23.7109375" style="6" customWidth="1"/>
    <col min="14" max="14" width="17.140625" style="6" customWidth="1"/>
    <col min="15" max="15" width="11.28515625" style="6" bestFit="1" customWidth="1"/>
    <col min="16" max="16" width="10.5703125" style="6" bestFit="1" customWidth="1"/>
    <col min="17" max="18" width="9.140625" style="6"/>
    <col min="19" max="19" width="10" style="6" bestFit="1" customWidth="1"/>
    <col min="20" max="16384" width="9.140625" style="6"/>
  </cols>
  <sheetData>
    <row r="1" spans="1:13" ht="15" customHeight="1" x14ac:dyDescent="0.25">
      <c r="A1" s="380" t="s">
        <v>0</v>
      </c>
      <c r="B1" s="380"/>
      <c r="C1" s="380"/>
      <c r="D1" s="380"/>
      <c r="E1" s="380"/>
      <c r="F1" s="380"/>
      <c r="G1" s="380"/>
      <c r="H1" s="380"/>
      <c r="I1" s="380"/>
      <c r="J1" s="380"/>
      <c r="K1" s="380"/>
      <c r="L1" s="11"/>
      <c r="M1" s="11"/>
    </row>
    <row r="2" spans="1:13" ht="15" customHeight="1" x14ac:dyDescent="0.25">
      <c r="A2" s="309"/>
      <c r="B2" s="309"/>
      <c r="C2" s="309"/>
      <c r="D2" s="309"/>
      <c r="E2" s="309"/>
      <c r="F2" s="309"/>
      <c r="G2" s="309"/>
      <c r="H2" s="309"/>
      <c r="I2" s="309"/>
      <c r="J2" s="309"/>
      <c r="K2" s="309"/>
      <c r="L2" s="11"/>
      <c r="M2" s="11"/>
    </row>
    <row r="3" spans="1:13" ht="15" customHeight="1" x14ac:dyDescent="0.25">
      <c r="A3" s="15"/>
      <c r="B3" s="16" t="s">
        <v>1</v>
      </c>
      <c r="C3" s="381"/>
      <c r="D3" s="381"/>
      <c r="E3" s="381"/>
      <c r="F3" s="381"/>
      <c r="G3" s="381"/>
      <c r="H3" s="381"/>
      <c r="I3" s="381"/>
      <c r="J3" s="381"/>
      <c r="K3" s="381"/>
      <c r="L3" s="11"/>
      <c r="M3" s="11"/>
    </row>
    <row r="4" spans="1:13" ht="15" customHeight="1" x14ac:dyDescent="0.25">
      <c r="A4" s="15"/>
      <c r="B4" s="17" t="s">
        <v>125</v>
      </c>
      <c r="C4" s="382"/>
      <c r="D4" s="382"/>
      <c r="E4" s="17"/>
      <c r="F4" s="17"/>
      <c r="G4" s="17"/>
      <c r="H4" s="17"/>
      <c r="I4" s="17"/>
      <c r="J4" s="17"/>
      <c r="K4" s="17"/>
      <c r="L4" s="11"/>
      <c r="M4" s="11"/>
    </row>
    <row r="5" spans="1:13" ht="15" customHeight="1" x14ac:dyDescent="0.25">
      <c r="A5" s="15"/>
      <c r="B5" s="16" t="s">
        <v>124</v>
      </c>
      <c r="C5" s="18"/>
      <c r="D5" s="17"/>
      <c r="E5" s="17"/>
      <c r="F5" s="17"/>
      <c r="G5" s="17"/>
      <c r="H5" s="17"/>
      <c r="I5" s="17"/>
      <c r="J5" s="17"/>
      <c r="K5" s="17"/>
      <c r="L5" s="11"/>
      <c r="M5" s="11"/>
    </row>
    <row r="6" spans="1:13" ht="4.5" customHeight="1" x14ac:dyDescent="0.25">
      <c r="A6" s="309"/>
      <c r="B6" s="309"/>
      <c r="C6" s="309"/>
      <c r="D6" s="309"/>
      <c r="E6" s="309"/>
      <c r="F6" s="309"/>
      <c r="G6" s="309"/>
      <c r="H6" s="309"/>
      <c r="I6" s="309"/>
      <c r="J6" s="309"/>
      <c r="K6" s="309"/>
      <c r="L6" s="11"/>
      <c r="M6" s="11"/>
    </row>
    <row r="7" spans="1:13" ht="15" customHeight="1" x14ac:dyDescent="0.25">
      <c r="A7" s="377" t="s">
        <v>123</v>
      </c>
      <c r="B7" s="377"/>
      <c r="C7" s="377"/>
      <c r="D7" s="377"/>
      <c r="E7" s="377"/>
      <c r="F7" s="377"/>
      <c r="G7" s="377"/>
      <c r="H7" s="377"/>
      <c r="I7" s="377"/>
      <c r="J7" s="377"/>
      <c r="K7" s="377"/>
      <c r="L7" s="11"/>
      <c r="M7" s="11"/>
    </row>
    <row r="8" spans="1:13" ht="15" customHeight="1" x14ac:dyDescent="0.25">
      <c r="A8" s="19" t="s">
        <v>2</v>
      </c>
      <c r="B8" s="371" t="s">
        <v>122</v>
      </c>
      <c r="C8" s="371"/>
      <c r="D8" s="371"/>
      <c r="E8" s="371"/>
      <c r="F8" s="371"/>
      <c r="G8" s="385"/>
      <c r="H8" s="385"/>
      <c r="I8" s="385"/>
      <c r="J8" s="383"/>
      <c r="K8" s="383"/>
      <c r="L8" s="11"/>
      <c r="M8" s="11"/>
    </row>
    <row r="9" spans="1:13" ht="15" customHeight="1" x14ac:dyDescent="0.25">
      <c r="A9" s="19" t="s">
        <v>3</v>
      </c>
      <c r="B9" s="371" t="s">
        <v>121</v>
      </c>
      <c r="C9" s="371"/>
      <c r="D9" s="371"/>
      <c r="E9" s="371"/>
      <c r="F9" s="371"/>
      <c r="G9" s="386" t="s">
        <v>120</v>
      </c>
      <c r="H9" s="387"/>
      <c r="I9" s="387"/>
      <c r="J9" s="387"/>
      <c r="K9" s="388"/>
      <c r="L9" s="11"/>
      <c r="M9" s="11"/>
    </row>
    <row r="10" spans="1:13" ht="15" customHeight="1" x14ac:dyDescent="0.25">
      <c r="A10" s="20" t="s">
        <v>4</v>
      </c>
      <c r="B10" s="389" t="s">
        <v>119</v>
      </c>
      <c r="C10" s="390"/>
      <c r="D10" s="390"/>
      <c r="E10" s="390"/>
      <c r="F10" s="390"/>
      <c r="G10" s="383" t="s">
        <v>165</v>
      </c>
      <c r="H10" s="383"/>
      <c r="I10" s="383"/>
      <c r="J10" s="383"/>
      <c r="K10" s="383"/>
      <c r="L10" s="11"/>
      <c r="M10" s="11"/>
    </row>
    <row r="11" spans="1:13" ht="15" customHeight="1" x14ac:dyDescent="0.25">
      <c r="A11" s="19" t="s">
        <v>5</v>
      </c>
      <c r="B11" s="21" t="s">
        <v>6</v>
      </c>
      <c r="C11" s="22"/>
      <c r="D11" s="22"/>
      <c r="E11" s="22"/>
      <c r="F11" s="22"/>
      <c r="G11" s="383">
        <v>30</v>
      </c>
      <c r="H11" s="383"/>
      <c r="I11" s="383"/>
      <c r="J11" s="383"/>
      <c r="K11" s="383"/>
      <c r="L11" s="11"/>
      <c r="M11" s="11"/>
    </row>
    <row r="12" spans="1:13" ht="15" customHeight="1" x14ac:dyDescent="0.25">
      <c r="A12" s="377" t="s">
        <v>7</v>
      </c>
      <c r="B12" s="377"/>
      <c r="C12" s="377"/>
      <c r="D12" s="377"/>
      <c r="E12" s="377"/>
      <c r="F12" s="377"/>
      <c r="G12" s="377"/>
      <c r="H12" s="377"/>
      <c r="I12" s="377"/>
      <c r="J12" s="377"/>
      <c r="K12" s="377"/>
      <c r="L12" s="11"/>
      <c r="M12" s="11"/>
    </row>
    <row r="13" spans="1:13" ht="15" customHeight="1" x14ac:dyDescent="0.25">
      <c r="A13" s="19">
        <v>1</v>
      </c>
      <c r="B13" s="371" t="s">
        <v>8</v>
      </c>
      <c r="C13" s="371"/>
      <c r="D13" s="371"/>
      <c r="E13" s="371"/>
      <c r="F13" s="371"/>
      <c r="G13" s="371"/>
      <c r="H13" s="225"/>
      <c r="I13" s="225"/>
      <c r="J13" s="383" t="s">
        <v>9</v>
      </c>
      <c r="K13" s="383"/>
      <c r="L13" s="11"/>
      <c r="M13" s="11"/>
    </row>
    <row r="14" spans="1:13" ht="15" customHeight="1" x14ac:dyDescent="0.25">
      <c r="A14" s="19">
        <v>2</v>
      </c>
      <c r="B14" s="371" t="s">
        <v>118</v>
      </c>
      <c r="C14" s="371"/>
      <c r="D14" s="371"/>
      <c r="E14" s="371"/>
      <c r="F14" s="371"/>
      <c r="G14" s="371"/>
      <c r="H14" s="225"/>
      <c r="I14" s="225"/>
      <c r="J14" s="384">
        <v>1</v>
      </c>
      <c r="K14" s="384"/>
      <c r="L14" s="11"/>
      <c r="M14" s="11"/>
    </row>
    <row r="15" spans="1:13" ht="15" customHeight="1" x14ac:dyDescent="0.25">
      <c r="A15" s="19">
        <v>3</v>
      </c>
      <c r="B15" s="21" t="s">
        <v>117</v>
      </c>
      <c r="C15" s="376" t="s">
        <v>178</v>
      </c>
      <c r="D15" s="376"/>
      <c r="E15" s="376"/>
      <c r="F15" s="376"/>
      <c r="G15" s="376"/>
      <c r="H15" s="376"/>
      <c r="I15" s="376"/>
      <c r="J15" s="376"/>
      <c r="K15" s="376"/>
      <c r="L15" s="11"/>
      <c r="M15" s="11"/>
    </row>
    <row r="16" spans="1:13" ht="15" customHeight="1" x14ac:dyDescent="0.25">
      <c r="A16" s="309"/>
      <c r="B16" s="309"/>
      <c r="C16" s="309"/>
      <c r="D16" s="309"/>
      <c r="E16" s="309"/>
      <c r="F16" s="309"/>
      <c r="G16" s="309"/>
      <c r="H16" s="309"/>
      <c r="I16" s="309"/>
      <c r="J16" s="309"/>
      <c r="K16" s="309"/>
      <c r="L16" s="11"/>
      <c r="M16" s="11"/>
    </row>
    <row r="17" spans="1:21" ht="15" customHeight="1" x14ac:dyDescent="0.25">
      <c r="A17" s="377" t="s">
        <v>116</v>
      </c>
      <c r="B17" s="377"/>
      <c r="C17" s="377"/>
      <c r="D17" s="377"/>
      <c r="E17" s="377"/>
      <c r="F17" s="377"/>
      <c r="G17" s="377"/>
      <c r="H17" s="377"/>
      <c r="I17" s="377"/>
      <c r="J17" s="377"/>
      <c r="K17" s="377"/>
      <c r="L17" s="11"/>
      <c r="M17" s="11"/>
    </row>
    <row r="18" spans="1:21" ht="15" customHeight="1" x14ac:dyDescent="0.25">
      <c r="A18" s="308" t="s">
        <v>115</v>
      </c>
      <c r="B18" s="308"/>
      <c r="C18" s="308"/>
      <c r="D18" s="308"/>
      <c r="E18" s="308"/>
      <c r="F18" s="308"/>
      <c r="G18" s="308"/>
      <c r="H18" s="308"/>
      <c r="I18" s="308"/>
      <c r="J18" s="308"/>
      <c r="K18" s="308"/>
      <c r="L18" s="11"/>
      <c r="M18" s="11"/>
    </row>
    <row r="19" spans="1:21" x14ac:dyDescent="0.25">
      <c r="A19" s="23">
        <v>1</v>
      </c>
      <c r="B19" s="352" t="s">
        <v>114</v>
      </c>
      <c r="C19" s="352"/>
      <c r="D19" s="352"/>
      <c r="E19" s="352"/>
      <c r="F19" s="352"/>
      <c r="G19" s="352"/>
      <c r="H19" s="221"/>
      <c r="I19" s="221"/>
      <c r="J19" s="374" t="s">
        <v>281</v>
      </c>
      <c r="K19" s="375"/>
      <c r="L19" s="11"/>
      <c r="M19" s="11"/>
    </row>
    <row r="20" spans="1:21" ht="15" customHeight="1" x14ac:dyDescent="0.25">
      <c r="A20" s="23">
        <v>2</v>
      </c>
      <c r="B20" s="352" t="s">
        <v>113</v>
      </c>
      <c r="C20" s="352"/>
      <c r="D20" s="352"/>
      <c r="E20" s="352"/>
      <c r="F20" s="352"/>
      <c r="G20" s="352"/>
      <c r="H20" s="221"/>
      <c r="I20" s="221"/>
      <c r="J20" s="391">
        <v>517330</v>
      </c>
      <c r="K20" s="392"/>
      <c r="L20" s="11"/>
    </row>
    <row r="21" spans="1:21" ht="15" customHeight="1" x14ac:dyDescent="0.25">
      <c r="A21" s="23">
        <v>3</v>
      </c>
      <c r="B21" s="352" t="s">
        <v>112</v>
      </c>
      <c r="C21" s="352"/>
      <c r="D21" s="352"/>
      <c r="E21" s="352"/>
      <c r="F21" s="352"/>
      <c r="G21" s="352"/>
      <c r="H21" s="221"/>
      <c r="I21" s="221"/>
      <c r="J21" s="393">
        <f>1829.2</f>
        <v>1829.2</v>
      </c>
      <c r="K21" s="394"/>
      <c r="L21" s="11"/>
      <c r="M21" s="193"/>
    </row>
    <row r="22" spans="1:21" x14ac:dyDescent="0.25">
      <c r="A22" s="23">
        <v>4</v>
      </c>
      <c r="B22" s="352" t="s">
        <v>111</v>
      </c>
      <c r="C22" s="352"/>
      <c r="D22" s="352"/>
      <c r="E22" s="352"/>
      <c r="F22" s="352"/>
      <c r="G22" s="352"/>
      <c r="H22" s="221"/>
      <c r="I22" s="221"/>
      <c r="J22" s="374"/>
      <c r="K22" s="375"/>
      <c r="L22" s="11"/>
      <c r="M22" s="11"/>
    </row>
    <row r="23" spans="1:21" ht="15" customHeight="1" x14ac:dyDescent="0.25">
      <c r="A23" s="23">
        <v>5</v>
      </c>
      <c r="B23" s="352" t="s">
        <v>110</v>
      </c>
      <c r="C23" s="352"/>
      <c r="D23" s="352"/>
      <c r="E23" s="352"/>
      <c r="F23" s="352"/>
      <c r="G23" s="352"/>
      <c r="H23" s="221"/>
      <c r="I23" s="221"/>
      <c r="J23" s="367">
        <v>45292</v>
      </c>
      <c r="K23" s="368"/>
      <c r="L23" s="11"/>
      <c r="M23" s="11"/>
    </row>
    <row r="24" spans="1:21" ht="15" customHeight="1" x14ac:dyDescent="0.25">
      <c r="A24" s="286" t="s">
        <v>109</v>
      </c>
      <c r="B24" s="287"/>
      <c r="C24" s="287"/>
      <c r="D24" s="287"/>
      <c r="E24" s="287"/>
      <c r="F24" s="287"/>
      <c r="G24" s="287"/>
      <c r="H24" s="287"/>
      <c r="I24" s="287"/>
      <c r="J24" s="287"/>
      <c r="K24" s="288"/>
      <c r="L24" s="11"/>
      <c r="M24" s="11"/>
    </row>
    <row r="25" spans="1:21" ht="15" customHeight="1" x14ac:dyDescent="0.25">
      <c r="A25" s="40">
        <v>1</v>
      </c>
      <c r="B25" s="307" t="s">
        <v>108</v>
      </c>
      <c r="C25" s="307"/>
      <c r="D25" s="307"/>
      <c r="E25" s="307"/>
      <c r="F25" s="307"/>
      <c r="G25" s="307"/>
      <c r="H25" s="218"/>
      <c r="I25" s="218"/>
      <c r="J25" s="369" t="s">
        <v>10</v>
      </c>
      <c r="K25" s="370"/>
      <c r="L25" s="11"/>
      <c r="M25" s="11"/>
    </row>
    <row r="26" spans="1:21" ht="15" customHeight="1" x14ac:dyDescent="0.25">
      <c r="A26" s="23" t="s">
        <v>2</v>
      </c>
      <c r="B26" s="371" t="s">
        <v>164</v>
      </c>
      <c r="C26" s="371"/>
      <c r="D26" s="371"/>
      <c r="E26" s="371"/>
      <c r="F26" s="371"/>
      <c r="G26" s="371"/>
      <c r="H26" s="226"/>
      <c r="I26" s="226"/>
      <c r="J26" s="372">
        <f>J21</f>
        <v>1829.2</v>
      </c>
      <c r="K26" s="373"/>
      <c r="L26" s="11"/>
      <c r="M26" s="11"/>
    </row>
    <row r="27" spans="1:21" ht="15" customHeight="1" x14ac:dyDescent="0.25">
      <c r="A27" s="24" t="s">
        <v>3</v>
      </c>
      <c r="B27" s="25" t="s">
        <v>107</v>
      </c>
      <c r="C27" s="26"/>
      <c r="D27" s="27" t="s">
        <v>105</v>
      </c>
      <c r="E27" s="27" t="s">
        <v>87</v>
      </c>
      <c r="F27" s="26"/>
      <c r="G27" s="28"/>
      <c r="H27" s="26"/>
      <c r="I27" s="26"/>
      <c r="J27" s="372">
        <f>IF(E27="N",0,J26*0.3)</f>
        <v>548.76</v>
      </c>
      <c r="K27" s="373"/>
      <c r="L27" s="11"/>
      <c r="M27" s="11"/>
    </row>
    <row r="28" spans="1:21" ht="15" customHeight="1" x14ac:dyDescent="0.25">
      <c r="A28" s="24" t="s">
        <v>4</v>
      </c>
      <c r="B28" s="25" t="s">
        <v>106</v>
      </c>
      <c r="C28" s="26"/>
      <c r="D28" s="27" t="s">
        <v>105</v>
      </c>
      <c r="E28" s="27" t="s">
        <v>104</v>
      </c>
      <c r="F28" s="378"/>
      <c r="G28" s="379"/>
      <c r="H28" s="227"/>
      <c r="I28" s="227"/>
      <c r="J28" s="358">
        <v>0</v>
      </c>
      <c r="K28" s="359"/>
      <c r="L28" s="11"/>
      <c r="M28" s="11"/>
      <c r="P28" s="54"/>
    </row>
    <row r="29" spans="1:21" ht="15" customHeight="1" x14ac:dyDescent="0.25">
      <c r="A29" s="24" t="s">
        <v>5</v>
      </c>
      <c r="B29" s="25" t="s">
        <v>305</v>
      </c>
      <c r="C29" s="26"/>
      <c r="D29" s="198"/>
      <c r="E29" s="198"/>
      <c r="F29" s="227"/>
      <c r="G29" s="197"/>
      <c r="H29" s="227"/>
      <c r="I29" s="227"/>
      <c r="J29" s="396">
        <f>(J26+J27)/220*0.2*105</f>
        <v>226.98709090909091</v>
      </c>
      <c r="K29" s="314"/>
      <c r="L29" s="11"/>
      <c r="M29" s="11"/>
      <c r="P29" s="54"/>
    </row>
    <row r="30" spans="1:21" ht="15" customHeight="1" x14ac:dyDescent="0.25">
      <c r="A30" s="23" t="s">
        <v>11</v>
      </c>
      <c r="B30" s="361" t="s">
        <v>316</v>
      </c>
      <c r="C30" s="362"/>
      <c r="D30" s="362"/>
      <c r="E30" s="362"/>
      <c r="F30" s="362"/>
      <c r="G30" s="363"/>
      <c r="H30" s="195"/>
      <c r="I30" s="195"/>
      <c r="J30" s="358">
        <f>(J26+J27)/220*1.2*15</f>
        <v>194.56036363636366</v>
      </c>
      <c r="K30" s="359"/>
      <c r="L30" s="11"/>
      <c r="M30" s="11"/>
    </row>
    <row r="31" spans="1:21" ht="15" customHeight="1" x14ac:dyDescent="0.25">
      <c r="A31" s="19" t="s">
        <v>12</v>
      </c>
      <c r="B31" s="366" t="s">
        <v>101</v>
      </c>
      <c r="C31" s="366"/>
      <c r="D31" s="366"/>
      <c r="E31" s="366"/>
      <c r="F31" s="366"/>
      <c r="G31" s="366"/>
      <c r="H31" s="194"/>
      <c r="I31" s="194"/>
      <c r="J31" s="358">
        <v>0</v>
      </c>
      <c r="K31" s="359"/>
      <c r="L31" s="11"/>
      <c r="M31" s="11"/>
    </row>
    <row r="32" spans="1:21" ht="15" customHeight="1" x14ac:dyDescent="0.25">
      <c r="A32" s="107" t="s">
        <v>23</v>
      </c>
      <c r="B32" s="355" t="s">
        <v>175</v>
      </c>
      <c r="C32" s="356"/>
      <c r="D32" s="356"/>
      <c r="E32" s="356"/>
      <c r="F32" s="356"/>
      <c r="G32" s="357"/>
      <c r="H32" s="224"/>
      <c r="I32" s="224"/>
      <c r="J32" s="358">
        <v>0</v>
      </c>
      <c r="K32" s="359"/>
      <c r="M32" s="360"/>
      <c r="N32" s="360"/>
      <c r="O32" s="360"/>
      <c r="P32" s="360"/>
      <c r="Q32" s="360"/>
      <c r="R32" s="360"/>
      <c r="S32" s="360"/>
      <c r="T32" s="360"/>
      <c r="U32" s="360"/>
    </row>
    <row r="33" spans="1:19" ht="15" customHeight="1" x14ac:dyDescent="0.25">
      <c r="A33" s="19" t="s">
        <v>24</v>
      </c>
      <c r="B33" s="361" t="s">
        <v>330</v>
      </c>
      <c r="C33" s="362"/>
      <c r="D33" s="362"/>
      <c r="E33" s="362"/>
      <c r="F33" s="362"/>
      <c r="G33" s="363"/>
      <c r="H33" s="195"/>
      <c r="I33" s="195"/>
      <c r="J33" s="364"/>
      <c r="K33" s="365"/>
      <c r="L33" s="11"/>
      <c r="M33" s="320"/>
      <c r="N33" s="320"/>
      <c r="O33" s="320"/>
      <c r="P33" s="320"/>
      <c r="Q33" s="320"/>
    </row>
    <row r="34" spans="1:19" ht="15" customHeight="1" x14ac:dyDescent="0.25">
      <c r="A34" s="308" t="s">
        <v>99</v>
      </c>
      <c r="B34" s="308"/>
      <c r="C34" s="308"/>
      <c r="D34" s="308"/>
      <c r="E34" s="308"/>
      <c r="F34" s="308"/>
      <c r="G34" s="308"/>
      <c r="H34" s="217"/>
      <c r="I34" s="217"/>
      <c r="J34" s="353">
        <f>SUM(J26:K33)</f>
        <v>2799.5074545454545</v>
      </c>
      <c r="K34" s="354"/>
      <c r="L34" s="11"/>
      <c r="M34" s="11"/>
    </row>
    <row r="35" spans="1:19" ht="15" customHeight="1" x14ac:dyDescent="0.25">
      <c r="A35" s="286" t="s">
        <v>98</v>
      </c>
      <c r="B35" s="287"/>
      <c r="C35" s="287"/>
      <c r="D35" s="287"/>
      <c r="E35" s="287"/>
      <c r="F35" s="287"/>
      <c r="G35" s="287"/>
      <c r="H35" s="287"/>
      <c r="I35" s="287"/>
      <c r="J35" s="287"/>
      <c r="K35" s="288"/>
      <c r="L35" s="11"/>
      <c r="M35" s="11"/>
      <c r="S35" s="52"/>
    </row>
    <row r="36" spans="1:19" ht="15" customHeight="1" x14ac:dyDescent="0.25">
      <c r="A36" s="307" t="s">
        <v>162</v>
      </c>
      <c r="B36" s="307"/>
      <c r="C36" s="307"/>
      <c r="D36" s="307"/>
      <c r="E36" s="307"/>
      <c r="F36" s="307"/>
      <c r="G36" s="307"/>
      <c r="H36" s="307"/>
      <c r="I36" s="307"/>
      <c r="J36" s="307"/>
      <c r="K36" s="307"/>
      <c r="L36" s="11"/>
      <c r="M36" s="11"/>
      <c r="N36" s="58"/>
    </row>
    <row r="37" spans="1:19" ht="15" customHeight="1" x14ac:dyDescent="0.25">
      <c r="A37" s="40" t="s">
        <v>85</v>
      </c>
      <c r="B37" s="321" t="s">
        <v>163</v>
      </c>
      <c r="C37" s="322"/>
      <c r="D37" s="322"/>
      <c r="E37" s="322"/>
      <c r="F37" s="322"/>
      <c r="G37" s="323"/>
      <c r="H37" s="219"/>
      <c r="I37" s="219"/>
      <c r="J37" s="40" t="s">
        <v>64</v>
      </c>
      <c r="K37" s="43" t="s">
        <v>10</v>
      </c>
      <c r="L37" s="11"/>
      <c r="M37" s="11"/>
      <c r="P37" s="56"/>
    </row>
    <row r="38" spans="1:19" ht="15" customHeight="1" x14ac:dyDescent="0.25">
      <c r="A38" s="23" t="s">
        <v>2</v>
      </c>
      <c r="B38" s="324" t="s">
        <v>97</v>
      </c>
      <c r="C38" s="325"/>
      <c r="D38" s="325"/>
      <c r="E38" s="325"/>
      <c r="F38" s="325"/>
      <c r="G38" s="326"/>
      <c r="H38" s="222"/>
      <c r="I38" s="222"/>
      <c r="J38" s="61">
        <v>8.3299999999999999E-2</v>
      </c>
      <c r="K38" s="30">
        <f>(J26+J27+J29+J30)*J38</f>
        <v>233.19897096363636</v>
      </c>
      <c r="L38" s="11"/>
      <c r="M38" s="12"/>
      <c r="N38" s="57"/>
      <c r="O38" s="57"/>
      <c r="P38" s="56"/>
      <c r="Q38" s="9"/>
    </row>
    <row r="39" spans="1:19" ht="15" customHeight="1" x14ac:dyDescent="0.25">
      <c r="A39" s="23" t="s">
        <v>3</v>
      </c>
      <c r="B39" s="324" t="s">
        <v>161</v>
      </c>
      <c r="C39" s="325"/>
      <c r="D39" s="325"/>
      <c r="E39" s="325"/>
      <c r="F39" s="325"/>
      <c r="G39" s="326"/>
      <c r="H39" s="222"/>
      <c r="I39" s="222"/>
      <c r="J39" s="61">
        <v>0.121</v>
      </c>
      <c r="K39" s="30">
        <f>(J26+J27+J29+J30)*J39</f>
        <v>338.74040199999996</v>
      </c>
      <c r="L39" s="11"/>
      <c r="M39" s="12"/>
      <c r="N39" s="57"/>
      <c r="O39" s="57"/>
      <c r="P39" s="56"/>
      <c r="Q39" s="9"/>
    </row>
    <row r="40" spans="1:19" ht="15" customHeight="1" x14ac:dyDescent="0.25">
      <c r="A40" s="60" t="s">
        <v>68</v>
      </c>
      <c r="B40" s="59"/>
      <c r="C40" s="59"/>
      <c r="D40" s="59"/>
      <c r="E40" s="59"/>
      <c r="F40" s="59"/>
      <c r="G40" s="59"/>
      <c r="H40" s="59"/>
      <c r="I40" s="59"/>
      <c r="J40" s="66">
        <f>SUM(J38:J39)</f>
        <v>0.20429999999999998</v>
      </c>
      <c r="K40" s="65">
        <f>SUM(K38:K39)</f>
        <v>571.93937296363629</v>
      </c>
      <c r="L40" s="11"/>
      <c r="M40" s="11"/>
      <c r="N40" s="52"/>
      <c r="P40" s="52"/>
    </row>
    <row r="41" spans="1:19" ht="15" customHeight="1" x14ac:dyDescent="0.25">
      <c r="A41" s="307" t="s">
        <v>96</v>
      </c>
      <c r="B41" s="307"/>
      <c r="C41" s="307"/>
      <c r="D41" s="307"/>
      <c r="E41" s="307"/>
      <c r="F41" s="307"/>
      <c r="G41" s="307"/>
      <c r="H41" s="307"/>
      <c r="I41" s="307"/>
      <c r="J41" s="307"/>
      <c r="K41" s="307"/>
      <c r="L41" s="11"/>
      <c r="M41" s="11"/>
    </row>
    <row r="42" spans="1:19" ht="15" customHeight="1" x14ac:dyDescent="0.25">
      <c r="A42" s="40" t="s">
        <v>83</v>
      </c>
      <c r="B42" s="307" t="s">
        <v>82</v>
      </c>
      <c r="C42" s="307"/>
      <c r="D42" s="307"/>
      <c r="E42" s="307"/>
      <c r="F42" s="307"/>
      <c r="G42" s="307"/>
      <c r="H42" s="215"/>
      <c r="I42" s="215"/>
      <c r="J42" s="40" t="s">
        <v>64</v>
      </c>
      <c r="K42" s="43" t="s">
        <v>10</v>
      </c>
      <c r="L42" s="11"/>
      <c r="M42" s="11"/>
      <c r="P42" s="52"/>
    </row>
    <row r="43" spans="1:19" ht="15" customHeight="1" x14ac:dyDescent="0.25">
      <c r="A43" s="23" t="s">
        <v>2</v>
      </c>
      <c r="B43" s="352" t="s">
        <v>18</v>
      </c>
      <c r="C43" s="352"/>
      <c r="D43" s="352"/>
      <c r="E43" s="352"/>
      <c r="F43" s="352"/>
      <c r="G43" s="352"/>
      <c r="H43" s="223"/>
      <c r="I43" s="223"/>
      <c r="J43" s="31">
        <v>0.2</v>
      </c>
      <c r="K43" s="32">
        <f>((J26+J27+J29+J30)+$K$40)*J43</f>
        <v>674.28936550181822</v>
      </c>
      <c r="L43" s="11"/>
      <c r="M43" s="11"/>
      <c r="R43" s="54"/>
    </row>
    <row r="44" spans="1:19" ht="15" customHeight="1" x14ac:dyDescent="0.25">
      <c r="A44" s="23" t="s">
        <v>3</v>
      </c>
      <c r="B44" s="352" t="s">
        <v>21</v>
      </c>
      <c r="C44" s="352"/>
      <c r="D44" s="352"/>
      <c r="E44" s="352"/>
      <c r="F44" s="352"/>
      <c r="G44" s="352"/>
      <c r="H44" s="223"/>
      <c r="I44" s="223"/>
      <c r="J44" s="31">
        <v>2.5000000000000001E-2</v>
      </c>
      <c r="K44" s="32">
        <f>((J26+J27+J29+J30)+$K$40)*J44</f>
        <v>84.286170687727278</v>
      </c>
      <c r="L44" s="11"/>
      <c r="M44" s="11"/>
      <c r="Q44" s="52"/>
    </row>
    <row r="45" spans="1:19" ht="15" customHeight="1" x14ac:dyDescent="0.25">
      <c r="A45" s="33" t="s">
        <v>4</v>
      </c>
      <c r="B45" s="352" t="s">
        <v>126</v>
      </c>
      <c r="C45" s="352"/>
      <c r="D45" s="352"/>
      <c r="E45" s="352"/>
      <c r="F45" s="352"/>
      <c r="G45" s="352"/>
      <c r="H45" s="222"/>
      <c r="I45" s="222"/>
      <c r="J45" s="49">
        <v>0.03</v>
      </c>
      <c r="K45" s="32">
        <f>((J26+J27+J29+J30)+$K$40)*J45</f>
        <v>101.14340482527273</v>
      </c>
      <c r="L45" s="11"/>
      <c r="M45" s="11"/>
      <c r="N45" s="203"/>
    </row>
    <row r="46" spans="1:19" ht="15" customHeight="1" x14ac:dyDescent="0.25">
      <c r="A46" s="33" t="s">
        <v>5</v>
      </c>
      <c r="B46" s="352" t="s">
        <v>95</v>
      </c>
      <c r="C46" s="352"/>
      <c r="D46" s="352"/>
      <c r="E46" s="352"/>
      <c r="F46" s="352"/>
      <c r="G46" s="352"/>
      <c r="H46" s="223"/>
      <c r="I46" s="223"/>
      <c r="J46" s="31">
        <v>1.4999999999999999E-2</v>
      </c>
      <c r="K46" s="32">
        <f>((J26+J27+J29+J30)+$K$40)*J46</f>
        <v>50.571702412636363</v>
      </c>
      <c r="L46" s="11"/>
      <c r="M46" s="11"/>
      <c r="N46" s="202"/>
    </row>
    <row r="47" spans="1:19" ht="15" customHeight="1" x14ac:dyDescent="0.25">
      <c r="A47" s="23" t="s">
        <v>11</v>
      </c>
      <c r="B47" s="352" t="s">
        <v>19</v>
      </c>
      <c r="C47" s="352"/>
      <c r="D47" s="352"/>
      <c r="E47" s="352"/>
      <c r="F47" s="352"/>
      <c r="G47" s="352"/>
      <c r="H47" s="228"/>
      <c r="I47" s="228"/>
      <c r="J47" s="50">
        <v>0.01</v>
      </c>
      <c r="K47" s="32">
        <f>((J26+J27+J29+J30)+$K$40)*J47</f>
        <v>33.714468275090908</v>
      </c>
      <c r="L47" s="11"/>
      <c r="M47" s="11"/>
    </row>
    <row r="48" spans="1:19" ht="15" customHeight="1" x14ac:dyDescent="0.25">
      <c r="A48" s="23" t="s">
        <v>12</v>
      </c>
      <c r="B48" s="352" t="s">
        <v>25</v>
      </c>
      <c r="C48" s="352"/>
      <c r="D48" s="352"/>
      <c r="E48" s="352"/>
      <c r="F48" s="352"/>
      <c r="G48" s="352"/>
      <c r="H48" s="223"/>
      <c r="I48" s="223"/>
      <c r="J48" s="31">
        <v>6.0000000000000001E-3</v>
      </c>
      <c r="K48" s="32">
        <f>((J26+J27+J29+J30)+$K$40)*J48</f>
        <v>20.228680965054544</v>
      </c>
      <c r="L48" s="11"/>
      <c r="M48" s="11"/>
    </row>
    <row r="49" spans="1:17" ht="15" customHeight="1" x14ac:dyDescent="0.25">
      <c r="A49" s="23" t="s">
        <v>23</v>
      </c>
      <c r="B49" s="352" t="s">
        <v>20</v>
      </c>
      <c r="C49" s="352"/>
      <c r="D49" s="352"/>
      <c r="E49" s="352"/>
      <c r="F49" s="352"/>
      <c r="G49" s="352"/>
      <c r="H49" s="223"/>
      <c r="I49" s="223"/>
      <c r="J49" s="31">
        <v>2E-3</v>
      </c>
      <c r="K49" s="32">
        <f>((J26+J27+J29+J30)+$K$40)*J49</f>
        <v>6.7428936550181815</v>
      </c>
      <c r="L49" s="11"/>
      <c r="M49" s="11"/>
    </row>
    <row r="50" spans="1:17" ht="15" customHeight="1" x14ac:dyDescent="0.25">
      <c r="A50" s="23" t="s">
        <v>24</v>
      </c>
      <c r="B50" s="352" t="s">
        <v>22</v>
      </c>
      <c r="C50" s="352"/>
      <c r="D50" s="352"/>
      <c r="E50" s="352"/>
      <c r="F50" s="352"/>
      <c r="G50" s="352"/>
      <c r="H50" s="228"/>
      <c r="I50" s="228"/>
      <c r="J50" s="50">
        <v>0.08</v>
      </c>
      <c r="K50" s="32">
        <f>((J26+J27+J29+J30)+$K$40)*J50</f>
        <v>269.71574620072727</v>
      </c>
      <c r="L50" s="11"/>
      <c r="M50" s="11"/>
    </row>
    <row r="51" spans="1:17" ht="15" customHeight="1" x14ac:dyDescent="0.25">
      <c r="A51" s="308" t="s">
        <v>37</v>
      </c>
      <c r="B51" s="308"/>
      <c r="C51" s="308"/>
      <c r="D51" s="308"/>
      <c r="E51" s="308"/>
      <c r="F51" s="308"/>
      <c r="G51" s="308"/>
      <c r="H51" s="40"/>
      <c r="I51" s="40"/>
      <c r="J51" s="45">
        <f>SUM(J43:J50)</f>
        <v>0.36800000000000005</v>
      </c>
      <c r="K51" s="44">
        <f>SUM(K43:K50)</f>
        <v>1240.6924325233454</v>
      </c>
      <c r="L51" s="11"/>
      <c r="M51" s="11"/>
    </row>
    <row r="52" spans="1:17" ht="15" customHeight="1" x14ac:dyDescent="0.25">
      <c r="A52" s="317" t="s">
        <v>94</v>
      </c>
      <c r="B52" s="318"/>
      <c r="C52" s="318"/>
      <c r="D52" s="318"/>
      <c r="E52" s="318"/>
      <c r="F52" s="318"/>
      <c r="G52" s="318"/>
      <c r="H52" s="318"/>
      <c r="I52" s="318"/>
      <c r="J52" s="318"/>
      <c r="K52" s="319"/>
      <c r="L52" s="11"/>
    </row>
    <row r="53" spans="1:17" ht="15" customHeight="1" x14ac:dyDescent="0.25">
      <c r="A53" s="40" t="s">
        <v>81</v>
      </c>
      <c r="B53" s="307" t="s">
        <v>80</v>
      </c>
      <c r="C53" s="307"/>
      <c r="D53" s="307"/>
      <c r="E53" s="307"/>
      <c r="F53" s="307"/>
      <c r="G53" s="307"/>
      <c r="H53" s="215"/>
      <c r="I53" s="215"/>
      <c r="J53" s="308" t="s">
        <v>10</v>
      </c>
      <c r="K53" s="308"/>
      <c r="L53" s="11"/>
      <c r="M53" s="347" t="s">
        <v>177</v>
      </c>
      <c r="N53" s="347"/>
    </row>
    <row r="54" spans="1:17" ht="15" customHeight="1" x14ac:dyDescent="0.25">
      <c r="A54" s="336" t="s">
        <v>2</v>
      </c>
      <c r="B54" s="336" t="s">
        <v>93</v>
      </c>
      <c r="C54" s="23" t="s">
        <v>91</v>
      </c>
      <c r="D54" s="23" t="s">
        <v>176</v>
      </c>
      <c r="E54" s="23" t="s">
        <v>92</v>
      </c>
      <c r="F54" s="23" t="s">
        <v>89</v>
      </c>
      <c r="G54" s="23" t="s">
        <v>88</v>
      </c>
      <c r="H54" s="229"/>
      <c r="I54" s="229"/>
      <c r="J54" s="348">
        <f>D55*E55*F55</f>
        <v>256.5</v>
      </c>
      <c r="K54" s="349"/>
      <c r="L54" s="11"/>
      <c r="M54" s="346" t="s">
        <v>157</v>
      </c>
      <c r="N54" s="346"/>
    </row>
    <row r="55" spans="1:17" ht="15" customHeight="1" x14ac:dyDescent="0.25">
      <c r="A55" s="337"/>
      <c r="B55" s="337"/>
      <c r="C55" s="23" t="s">
        <v>87</v>
      </c>
      <c r="D55" s="29">
        <v>8.5500000000000007</v>
      </c>
      <c r="E55" s="23">
        <v>2</v>
      </c>
      <c r="F55" s="23">
        <v>15</v>
      </c>
      <c r="G55" s="29">
        <f>J26*0.06</f>
        <v>109.752</v>
      </c>
      <c r="H55" s="230"/>
      <c r="I55" s="230"/>
      <c r="J55" s="350">
        <f>D55*E55*F55-G55</f>
        <v>146.74799999999999</v>
      </c>
      <c r="K55" s="351"/>
      <c r="L55" s="11"/>
      <c r="M55" s="346" t="s">
        <v>158</v>
      </c>
      <c r="N55" s="346"/>
    </row>
    <row r="56" spans="1:17" ht="15" customHeight="1" x14ac:dyDescent="0.25">
      <c r="A56" s="336" t="s">
        <v>3</v>
      </c>
      <c r="B56" s="338" t="s">
        <v>156</v>
      </c>
      <c r="C56" s="339"/>
      <c r="D56" s="23" t="s">
        <v>91</v>
      </c>
      <c r="E56" s="23" t="s">
        <v>90</v>
      </c>
      <c r="F56" s="23" t="s">
        <v>89</v>
      </c>
      <c r="G56" s="23" t="s">
        <v>88</v>
      </c>
      <c r="H56" s="229"/>
      <c r="I56" s="229"/>
      <c r="J56" s="342">
        <f>IF(D57="N",0,(E57*F57)-G57)</f>
        <v>432.95999999999992</v>
      </c>
      <c r="K56" s="343"/>
      <c r="L56" s="11"/>
      <c r="M56" s="346" t="s">
        <v>159</v>
      </c>
      <c r="N56" s="346"/>
      <c r="Q56" s="52"/>
    </row>
    <row r="57" spans="1:17" ht="15" customHeight="1" x14ac:dyDescent="0.25">
      <c r="A57" s="337"/>
      <c r="B57" s="340"/>
      <c r="C57" s="341"/>
      <c r="D57" s="23" t="s">
        <v>87</v>
      </c>
      <c r="E57" s="29">
        <v>36.08</v>
      </c>
      <c r="F57" s="23">
        <v>15</v>
      </c>
      <c r="G57" s="29">
        <f>E57*F57*0.2</f>
        <v>108.24</v>
      </c>
      <c r="H57" s="230"/>
      <c r="I57" s="230"/>
      <c r="J57" s="344"/>
      <c r="K57" s="345"/>
      <c r="L57" s="11"/>
      <c r="M57" s="346" t="s">
        <v>160</v>
      </c>
      <c r="N57" s="346"/>
      <c r="Q57" s="52"/>
    </row>
    <row r="58" spans="1:17" ht="15" customHeight="1" x14ac:dyDescent="0.25">
      <c r="A58" s="51" t="s">
        <v>4</v>
      </c>
      <c r="B58" s="331" t="s">
        <v>155</v>
      </c>
      <c r="C58" s="333"/>
      <c r="D58" s="23" t="s">
        <v>87</v>
      </c>
      <c r="E58" s="29">
        <v>16.73</v>
      </c>
      <c r="F58" s="23">
        <v>1</v>
      </c>
      <c r="G58" s="29">
        <f>E58*F58*0.2</f>
        <v>3.3460000000000001</v>
      </c>
      <c r="H58" s="231"/>
      <c r="I58" s="231"/>
      <c r="J58" s="334">
        <f>IF(D58="N",0,(E58*F58)-G58)</f>
        <v>13.384</v>
      </c>
      <c r="K58" s="335"/>
      <c r="L58" s="11"/>
      <c r="M58" s="11"/>
      <c r="Q58" s="52"/>
    </row>
    <row r="59" spans="1:17" ht="15" customHeight="1" x14ac:dyDescent="0.25">
      <c r="A59" s="51" t="s">
        <v>5</v>
      </c>
      <c r="B59" s="331" t="s">
        <v>144</v>
      </c>
      <c r="C59" s="332"/>
      <c r="D59" s="332"/>
      <c r="E59" s="332"/>
      <c r="F59" s="332"/>
      <c r="G59" s="333"/>
      <c r="H59" s="91"/>
      <c r="I59" s="91"/>
      <c r="J59" s="334"/>
      <c r="K59" s="335"/>
      <c r="L59" s="11"/>
      <c r="M59" s="11"/>
      <c r="Q59" s="52"/>
    </row>
    <row r="60" spans="1:17" ht="15" customHeight="1" x14ac:dyDescent="0.25">
      <c r="A60" s="51" t="s">
        <v>11</v>
      </c>
      <c r="B60" s="331" t="s">
        <v>166</v>
      </c>
      <c r="C60" s="332"/>
      <c r="D60" s="332"/>
      <c r="E60" s="332"/>
      <c r="F60" s="332"/>
      <c r="G60" s="333"/>
      <c r="H60" s="91"/>
      <c r="I60" s="91"/>
      <c r="J60" s="334"/>
      <c r="K60" s="335"/>
      <c r="L60" s="11"/>
      <c r="M60" s="11"/>
      <c r="Q60" s="52"/>
    </row>
    <row r="61" spans="1:17" ht="15" customHeight="1" x14ac:dyDescent="0.25">
      <c r="A61" s="51" t="s">
        <v>12</v>
      </c>
      <c r="B61" s="90" t="s">
        <v>167</v>
      </c>
      <c r="C61" s="91"/>
      <c r="D61" s="91"/>
      <c r="E61" s="91"/>
      <c r="F61" s="91"/>
      <c r="G61" s="92"/>
      <c r="H61" s="91"/>
      <c r="I61" s="91"/>
      <c r="J61" s="103"/>
      <c r="K61" s="104"/>
      <c r="L61" s="11"/>
      <c r="M61" s="11"/>
      <c r="Q61" s="52"/>
    </row>
    <row r="62" spans="1:17" ht="15" customHeight="1" x14ac:dyDescent="0.25">
      <c r="A62" s="51" t="s">
        <v>23</v>
      </c>
      <c r="B62" s="90" t="s">
        <v>168</v>
      </c>
      <c r="C62" s="91"/>
      <c r="D62" s="91"/>
      <c r="E62" s="91"/>
      <c r="F62" s="91"/>
      <c r="G62" s="92"/>
      <c r="H62" s="91"/>
      <c r="I62" s="91"/>
      <c r="J62" s="334">
        <v>29.66</v>
      </c>
      <c r="K62" s="335"/>
      <c r="L62" s="11"/>
      <c r="M62" s="11"/>
      <c r="Q62" s="52"/>
    </row>
    <row r="63" spans="1:17" ht="15" customHeight="1" x14ac:dyDescent="0.25">
      <c r="A63" s="308" t="s">
        <v>68</v>
      </c>
      <c r="B63" s="308"/>
      <c r="C63" s="308"/>
      <c r="D63" s="308"/>
      <c r="E63" s="308"/>
      <c r="F63" s="308"/>
      <c r="G63" s="308"/>
      <c r="H63" s="40"/>
      <c r="I63" s="40"/>
      <c r="J63" s="328">
        <f>SUM(J55:K62)</f>
        <v>622.75199999999984</v>
      </c>
      <c r="K63" s="328"/>
      <c r="L63" s="11"/>
      <c r="M63" s="11"/>
    </row>
    <row r="64" spans="1:17" ht="15" customHeight="1" x14ac:dyDescent="0.25">
      <c r="A64" s="309"/>
      <c r="B64" s="309"/>
      <c r="C64" s="309"/>
      <c r="D64" s="309"/>
      <c r="E64" s="309"/>
      <c r="F64" s="309"/>
      <c r="G64" s="309"/>
      <c r="H64" s="309"/>
      <c r="I64" s="309"/>
      <c r="J64" s="309"/>
      <c r="K64" s="309"/>
      <c r="L64" s="11"/>
      <c r="M64" s="11"/>
    </row>
    <row r="65" spans="1:29" ht="15" customHeight="1" x14ac:dyDescent="0.25">
      <c r="A65" s="310" t="s">
        <v>86</v>
      </c>
      <c r="B65" s="310"/>
      <c r="C65" s="310"/>
      <c r="D65" s="310"/>
      <c r="E65" s="310"/>
      <c r="F65" s="310"/>
      <c r="G65" s="310"/>
      <c r="H65" s="310"/>
      <c r="I65" s="310"/>
      <c r="J65" s="310"/>
      <c r="K65" s="310"/>
      <c r="L65" s="11"/>
      <c r="M65" s="11"/>
      <c r="P65" s="53"/>
    </row>
    <row r="66" spans="1:29" ht="15" customHeight="1" x14ac:dyDescent="0.25">
      <c r="A66" s="311"/>
      <c r="B66" s="311"/>
      <c r="C66" s="311"/>
      <c r="D66" s="311"/>
      <c r="E66" s="311"/>
      <c r="F66" s="311"/>
      <c r="G66" s="311"/>
      <c r="H66" s="311"/>
      <c r="I66" s="311"/>
      <c r="J66" s="311"/>
      <c r="K66" s="311"/>
      <c r="L66" s="11"/>
      <c r="M66" s="11"/>
      <c r="P66" s="52"/>
    </row>
    <row r="67" spans="1:29" ht="15" customHeight="1" x14ac:dyDescent="0.25">
      <c r="A67" s="39">
        <v>2</v>
      </c>
      <c r="B67" s="296" t="s">
        <v>70</v>
      </c>
      <c r="C67" s="296"/>
      <c r="D67" s="296"/>
      <c r="E67" s="296"/>
      <c r="F67" s="296"/>
      <c r="G67" s="296"/>
      <c r="H67" s="211"/>
      <c r="I67" s="211"/>
      <c r="J67" s="278" t="s">
        <v>10</v>
      </c>
      <c r="K67" s="278"/>
      <c r="L67" s="11"/>
      <c r="M67" s="11"/>
    </row>
    <row r="68" spans="1:29" ht="15" customHeight="1" x14ac:dyDescent="0.25">
      <c r="A68" s="24" t="s">
        <v>85</v>
      </c>
      <c r="B68" s="276" t="s">
        <v>84</v>
      </c>
      <c r="C68" s="276"/>
      <c r="D68" s="276"/>
      <c r="E68" s="276"/>
      <c r="F68" s="276"/>
      <c r="G68" s="276"/>
      <c r="H68" s="210"/>
      <c r="I68" s="210"/>
      <c r="J68" s="277">
        <f>K40</f>
        <v>571.93937296363629</v>
      </c>
      <c r="K68" s="277"/>
      <c r="L68" s="11"/>
      <c r="M68" s="14"/>
      <c r="N68" s="10"/>
      <c r="O68" s="10"/>
      <c r="P68" s="10"/>
      <c r="Q68" s="10"/>
    </row>
    <row r="69" spans="1:29" ht="15" customHeight="1" x14ac:dyDescent="0.25">
      <c r="A69" s="24" t="s">
        <v>83</v>
      </c>
      <c r="B69" s="276" t="s">
        <v>82</v>
      </c>
      <c r="C69" s="276"/>
      <c r="D69" s="276"/>
      <c r="E69" s="276"/>
      <c r="F69" s="276"/>
      <c r="G69" s="276"/>
      <c r="H69" s="210"/>
      <c r="I69" s="210"/>
      <c r="J69" s="277">
        <f>K51</f>
        <v>1240.6924325233454</v>
      </c>
      <c r="K69" s="277"/>
      <c r="L69" s="11"/>
      <c r="M69" s="11"/>
    </row>
    <row r="70" spans="1:29" ht="15" customHeight="1" x14ac:dyDescent="0.25">
      <c r="A70" s="24" t="s">
        <v>81</v>
      </c>
      <c r="B70" s="276" t="s">
        <v>80</v>
      </c>
      <c r="C70" s="276"/>
      <c r="D70" s="276"/>
      <c r="E70" s="276"/>
      <c r="F70" s="276"/>
      <c r="G70" s="276"/>
      <c r="H70" s="210"/>
      <c r="I70" s="210"/>
      <c r="J70" s="277">
        <f>J63</f>
        <v>622.75199999999984</v>
      </c>
      <c r="K70" s="277"/>
      <c r="L70" s="11"/>
      <c r="M70" s="11"/>
    </row>
    <row r="71" spans="1:29" ht="15" customHeight="1" x14ac:dyDescent="0.25">
      <c r="A71" s="308" t="s">
        <v>68</v>
      </c>
      <c r="B71" s="308"/>
      <c r="C71" s="308"/>
      <c r="D71" s="308"/>
      <c r="E71" s="308"/>
      <c r="F71" s="308"/>
      <c r="G71" s="308"/>
      <c r="H71" s="40"/>
      <c r="I71" s="40"/>
      <c r="J71" s="328">
        <f>SUM(J68:K70)</f>
        <v>2435.3838054869816</v>
      </c>
      <c r="K71" s="328"/>
      <c r="L71" s="11"/>
      <c r="M71" s="11"/>
    </row>
    <row r="72" spans="1:29" ht="15" customHeight="1" x14ac:dyDescent="0.25">
      <c r="A72" s="306"/>
      <c r="B72" s="306"/>
      <c r="C72" s="306"/>
      <c r="D72" s="306"/>
      <c r="E72" s="306"/>
      <c r="F72" s="306"/>
      <c r="G72" s="306"/>
      <c r="H72" s="306"/>
      <c r="I72" s="306"/>
      <c r="J72" s="306"/>
      <c r="K72" s="306"/>
      <c r="L72" s="11"/>
      <c r="M72" s="11"/>
    </row>
    <row r="73" spans="1:29" ht="15" customHeight="1" x14ac:dyDescent="0.25">
      <c r="A73" s="286" t="s">
        <v>79</v>
      </c>
      <c r="B73" s="287"/>
      <c r="C73" s="287"/>
      <c r="D73" s="287"/>
      <c r="E73" s="287"/>
      <c r="F73" s="287"/>
      <c r="G73" s="287"/>
      <c r="H73" s="287"/>
      <c r="I73" s="287"/>
      <c r="J73" s="287"/>
      <c r="K73" s="288"/>
      <c r="L73" s="11"/>
      <c r="M73" s="320"/>
      <c r="N73" s="320"/>
      <c r="O73" s="320"/>
      <c r="P73" s="320"/>
    </row>
    <row r="74" spans="1:29" ht="15" customHeight="1" x14ac:dyDescent="0.25">
      <c r="A74" s="40">
        <v>3</v>
      </c>
      <c r="B74" s="60" t="s">
        <v>169</v>
      </c>
      <c r="C74" s="59"/>
      <c r="D74" s="59"/>
      <c r="E74" s="59"/>
      <c r="F74" s="59"/>
      <c r="G74" s="59"/>
      <c r="H74" s="59"/>
      <c r="I74" s="59"/>
      <c r="J74" s="40" t="s">
        <v>64</v>
      </c>
      <c r="K74" s="43" t="s">
        <v>10</v>
      </c>
      <c r="L74" s="11"/>
      <c r="M74" s="320"/>
      <c r="N74" s="320"/>
      <c r="O74" s="320"/>
      <c r="P74" s="320"/>
    </row>
    <row r="75" spans="1:29" ht="15" customHeight="1" x14ac:dyDescent="0.25">
      <c r="A75" s="23" t="s">
        <v>2</v>
      </c>
      <c r="B75" s="324" t="s">
        <v>260</v>
      </c>
      <c r="C75" s="325"/>
      <c r="D75" s="325"/>
      <c r="E75" s="325"/>
      <c r="F75" s="325"/>
      <c r="G75" s="326"/>
      <c r="H75" s="223"/>
      <c r="I75" s="222"/>
      <c r="J75" s="55">
        <v>4.6249999999999998E-3</v>
      </c>
      <c r="K75" s="32">
        <f>$J$75*(J26+J27+J29+J30)</f>
        <v>12.947721977272726</v>
      </c>
      <c r="L75" s="11"/>
      <c r="M75" s="330"/>
      <c r="N75" s="330"/>
      <c r="O75" s="330"/>
      <c r="P75" s="330"/>
      <c r="Q75" s="330"/>
      <c r="R75" s="330"/>
      <c r="S75" s="330"/>
      <c r="T75" s="330"/>
      <c r="U75" s="330"/>
      <c r="V75" s="330"/>
      <c r="W75" s="330"/>
      <c r="X75" s="330"/>
      <c r="Y75" s="330"/>
      <c r="Z75" s="330"/>
      <c r="AA75" s="330"/>
      <c r="AB75" s="330"/>
      <c r="AC75" s="330"/>
    </row>
    <row r="76" spans="1:29" ht="15" customHeight="1" x14ac:dyDescent="0.25">
      <c r="A76" s="23" t="s">
        <v>3</v>
      </c>
      <c r="B76" s="62" t="s">
        <v>26</v>
      </c>
      <c r="C76" s="63"/>
      <c r="D76" s="63"/>
      <c r="E76" s="63"/>
      <c r="F76" s="63"/>
      <c r="G76" s="63"/>
      <c r="H76" s="63"/>
      <c r="I76" s="63"/>
      <c r="J76" s="55">
        <f>K76/(J26+J27+J29+J30)</f>
        <v>3.6999999999999999E-4</v>
      </c>
      <c r="K76" s="32">
        <f>K75*0.08</f>
        <v>1.0358177581818182</v>
      </c>
      <c r="L76" s="11"/>
      <c r="M76" s="108"/>
      <c r="N76" s="52"/>
    </row>
    <row r="77" spans="1:29" ht="15" customHeight="1" x14ac:dyDescent="0.25">
      <c r="A77" s="23" t="s">
        <v>4</v>
      </c>
      <c r="B77" s="62" t="s">
        <v>321</v>
      </c>
      <c r="C77" s="63"/>
      <c r="D77" s="63"/>
      <c r="E77" s="63"/>
      <c r="F77" s="63"/>
      <c r="G77" s="63"/>
      <c r="H77" s="63"/>
      <c r="I77" s="63"/>
      <c r="J77" s="55">
        <v>5.4000000000000003E-3</v>
      </c>
      <c r="K77" s="32">
        <f>K75*0.4</f>
        <v>5.1790887909090912</v>
      </c>
      <c r="L77" s="11"/>
      <c r="M77" s="320"/>
      <c r="N77" s="320"/>
      <c r="O77" s="320"/>
      <c r="P77" s="320"/>
      <c r="Q77" s="320"/>
      <c r="R77" s="320"/>
      <c r="S77" s="320"/>
      <c r="T77" s="320"/>
      <c r="U77" s="320"/>
      <c r="V77" s="320"/>
      <c r="W77" s="320"/>
      <c r="X77" s="320"/>
      <c r="Y77" s="320"/>
      <c r="Z77" s="320"/>
      <c r="AA77" s="320"/>
      <c r="AB77" s="320"/>
    </row>
    <row r="78" spans="1:29" ht="15" customHeight="1" x14ac:dyDescent="0.25">
      <c r="A78" s="23" t="s">
        <v>5</v>
      </c>
      <c r="B78" s="324" t="s">
        <v>261</v>
      </c>
      <c r="C78" s="325"/>
      <c r="D78" s="325"/>
      <c r="E78" s="325"/>
      <c r="F78" s="325"/>
      <c r="G78" s="326"/>
      <c r="H78" s="222"/>
      <c r="I78" s="222"/>
      <c r="J78" s="55">
        <f>7/30/12</f>
        <v>1.9444444444444445E-2</v>
      </c>
      <c r="K78" s="32">
        <f>J78*(J26+J27+J29+J30)</f>
        <v>54.434867171717173</v>
      </c>
      <c r="L78" s="11"/>
      <c r="M78" s="108"/>
      <c r="O78" s="54"/>
    </row>
    <row r="79" spans="1:29" ht="15" customHeight="1" x14ac:dyDescent="0.25">
      <c r="A79" s="23" t="s">
        <v>11</v>
      </c>
      <c r="B79" s="62" t="s">
        <v>78</v>
      </c>
      <c r="C79" s="63"/>
      <c r="D79" s="63"/>
      <c r="E79" s="63"/>
      <c r="F79" s="63"/>
      <c r="G79" s="63"/>
      <c r="H79" s="63"/>
      <c r="I79" s="63"/>
      <c r="J79" s="55">
        <f>J51*J78</f>
        <v>7.1555555555555565E-3</v>
      </c>
      <c r="K79" s="32">
        <f>J79*(J26+J27+J29+J30)</f>
        <v>20.03203111919192</v>
      </c>
      <c r="L79" s="11"/>
      <c r="M79" s="320"/>
      <c r="N79" s="320"/>
      <c r="O79" s="320"/>
      <c r="P79" s="320"/>
    </row>
    <row r="80" spans="1:29" ht="15" customHeight="1" x14ac:dyDescent="0.25">
      <c r="A80" s="23" t="s">
        <v>12</v>
      </c>
      <c r="B80" s="62" t="s">
        <v>322</v>
      </c>
      <c r="C80" s="63"/>
      <c r="D80" s="63"/>
      <c r="E80" s="63"/>
      <c r="F80" s="63"/>
      <c r="G80" s="63"/>
      <c r="H80" s="63"/>
      <c r="I80" s="63"/>
      <c r="J80" s="55">
        <v>3.4599999999999999E-2</v>
      </c>
      <c r="K80" s="32">
        <f>J80*(J26+J27+J29+J30)</f>
        <v>96.862957927272717</v>
      </c>
      <c r="L80" s="11"/>
      <c r="M80" s="327"/>
      <c r="N80" s="327"/>
      <c r="O80" s="327"/>
      <c r="P80" s="327"/>
      <c r="Q80" s="327"/>
    </row>
    <row r="81" spans="1:42" ht="15" customHeight="1" x14ac:dyDescent="0.25">
      <c r="A81" s="60" t="s">
        <v>68</v>
      </c>
      <c r="B81" s="59"/>
      <c r="C81" s="59"/>
      <c r="D81" s="59"/>
      <c r="E81" s="59"/>
      <c r="F81" s="59"/>
      <c r="G81" s="59"/>
      <c r="H81" s="59"/>
      <c r="I81" s="59"/>
      <c r="J81" s="328">
        <f>SUM(K75:K80)</f>
        <v>190.49248474454544</v>
      </c>
      <c r="K81" s="328"/>
      <c r="L81" s="11"/>
      <c r="M81" s="109"/>
    </row>
    <row r="82" spans="1:42" ht="15" customHeight="1" x14ac:dyDescent="0.25">
      <c r="A82" s="329"/>
      <c r="B82" s="329"/>
      <c r="C82" s="329"/>
      <c r="D82" s="329"/>
      <c r="E82" s="329"/>
      <c r="F82" s="329"/>
      <c r="G82" s="329"/>
      <c r="H82" s="329"/>
      <c r="I82" s="329"/>
      <c r="J82" s="329"/>
      <c r="K82" s="329"/>
      <c r="L82" s="11"/>
      <c r="M82" s="320"/>
      <c r="N82" s="320"/>
      <c r="O82" s="320"/>
      <c r="P82" s="320"/>
      <c r="Q82" s="320"/>
      <c r="R82" s="320"/>
      <c r="S82" s="320"/>
      <c r="T82" s="320"/>
      <c r="U82" s="320"/>
      <c r="V82" s="320"/>
      <c r="W82" s="320"/>
      <c r="X82" s="320"/>
      <c r="Y82" s="320"/>
      <c r="Z82" s="320"/>
      <c r="AA82" s="320"/>
      <c r="AB82" s="320"/>
    </row>
    <row r="83" spans="1:42" ht="15" customHeight="1" x14ac:dyDescent="0.25">
      <c r="A83" s="286" t="s">
        <v>76</v>
      </c>
      <c r="B83" s="287"/>
      <c r="C83" s="287"/>
      <c r="D83" s="287"/>
      <c r="E83" s="287"/>
      <c r="F83" s="287"/>
      <c r="G83" s="287"/>
      <c r="H83" s="287"/>
      <c r="I83" s="287"/>
      <c r="J83" s="287"/>
      <c r="K83" s="288"/>
      <c r="L83" s="11"/>
      <c r="M83" s="108"/>
    </row>
    <row r="84" spans="1:42" ht="15" customHeight="1" x14ac:dyDescent="0.25">
      <c r="A84" s="317" t="s">
        <v>75</v>
      </c>
      <c r="B84" s="318"/>
      <c r="C84" s="318"/>
      <c r="D84" s="318"/>
      <c r="E84" s="318"/>
      <c r="F84" s="318"/>
      <c r="G84" s="318"/>
      <c r="H84" s="318"/>
      <c r="I84" s="318"/>
      <c r="J84" s="318"/>
      <c r="K84" s="319"/>
      <c r="L84" s="11"/>
      <c r="M84" s="320"/>
      <c r="N84" s="320"/>
      <c r="O84" s="320"/>
      <c r="P84" s="320"/>
      <c r="Q84" s="320"/>
      <c r="R84" s="320"/>
      <c r="S84" s="320"/>
      <c r="T84" s="320"/>
      <c r="U84" s="320"/>
      <c r="V84" s="320"/>
      <c r="W84" s="320"/>
      <c r="X84" s="320"/>
      <c r="Y84" s="320"/>
      <c r="Z84" s="320"/>
      <c r="AA84" s="320"/>
      <c r="AB84" s="320"/>
      <c r="AC84" s="320"/>
      <c r="AD84" s="320"/>
      <c r="AE84" s="320"/>
      <c r="AF84" s="320"/>
      <c r="AG84" s="320"/>
      <c r="AH84" s="320"/>
      <c r="AI84" s="320"/>
      <c r="AJ84" s="320"/>
      <c r="AK84" s="320"/>
      <c r="AL84" s="320"/>
      <c r="AM84" s="320"/>
      <c r="AN84" s="320"/>
      <c r="AO84" s="320"/>
      <c r="AP84" s="320"/>
    </row>
    <row r="85" spans="1:42" ht="15" customHeight="1" x14ac:dyDescent="0.25">
      <c r="A85" s="40" t="s">
        <v>17</v>
      </c>
      <c r="B85" s="321" t="s">
        <v>74</v>
      </c>
      <c r="C85" s="322"/>
      <c r="D85" s="322"/>
      <c r="E85" s="322"/>
      <c r="F85" s="322"/>
      <c r="G85" s="323"/>
      <c r="H85" s="219"/>
      <c r="I85" s="219"/>
      <c r="J85" s="40" t="s">
        <v>64</v>
      </c>
      <c r="K85" s="40" t="s">
        <v>10</v>
      </c>
      <c r="L85" s="11"/>
      <c r="M85" s="108"/>
    </row>
    <row r="86" spans="1:42" ht="15" customHeight="1" x14ac:dyDescent="0.25">
      <c r="A86" s="23" t="s">
        <v>2</v>
      </c>
      <c r="B86" s="62" t="s">
        <v>73</v>
      </c>
      <c r="C86" s="63"/>
      <c r="D86" s="63"/>
      <c r="E86" s="63"/>
      <c r="F86" s="63"/>
      <c r="G86" s="63"/>
      <c r="H86" s="63"/>
      <c r="I86" s="63"/>
      <c r="J86" s="55">
        <f>'Memória de Cálculo'!C48</f>
        <v>6.9444444444444441E-3</v>
      </c>
      <c r="K86" s="30">
        <f>J86*(J26+J27+J29+J30)</f>
        <v>19.441023989898987</v>
      </c>
      <c r="L86" s="11"/>
      <c r="M86" s="11"/>
    </row>
    <row r="87" spans="1:42" ht="15" customHeight="1" x14ac:dyDescent="0.25">
      <c r="A87" s="23" t="s">
        <v>3</v>
      </c>
      <c r="B87" s="62" t="s">
        <v>277</v>
      </c>
      <c r="C87" s="63"/>
      <c r="D87" s="63"/>
      <c r="E87" s="63"/>
      <c r="F87" s="63"/>
      <c r="G87" s="63"/>
      <c r="H87" s="63"/>
      <c r="I87" s="63"/>
      <c r="J87" s="55">
        <f>'Memória de Cálculo'!C49</f>
        <v>8.3333333333333332E-3</v>
      </c>
      <c r="K87" s="30">
        <f>J87*(J26+J27+J29+J30)</f>
        <v>23.329228787878787</v>
      </c>
      <c r="L87" s="11"/>
      <c r="M87" s="13"/>
      <c r="N87" s="9"/>
      <c r="O87" s="9"/>
      <c r="Q87" s="64"/>
    </row>
    <row r="88" spans="1:42" ht="15" customHeight="1" x14ac:dyDescent="0.25">
      <c r="A88" s="23" t="s">
        <v>4</v>
      </c>
      <c r="B88" s="62" t="s">
        <v>331</v>
      </c>
      <c r="C88" s="63"/>
      <c r="D88" s="63"/>
      <c r="E88" s="63"/>
      <c r="F88" s="63"/>
      <c r="G88" s="63"/>
      <c r="H88" s="63"/>
      <c r="I88" s="63"/>
      <c r="J88" s="55">
        <f>'Memória de Cálculo'!C50</f>
        <v>5.2499999999999997E-4</v>
      </c>
      <c r="K88" s="30">
        <f>J88*(J26+J27+J29+J30)</f>
        <v>1.4697414136363636</v>
      </c>
      <c r="L88" s="11"/>
      <c r="M88" s="13"/>
      <c r="N88" s="9"/>
      <c r="O88" s="9"/>
      <c r="Q88" s="64"/>
    </row>
    <row r="89" spans="1:42" ht="15" customHeight="1" x14ac:dyDescent="0.25">
      <c r="A89" s="23" t="s">
        <v>5</v>
      </c>
      <c r="B89" s="62" t="s">
        <v>137</v>
      </c>
      <c r="C89" s="63"/>
      <c r="D89" s="63"/>
      <c r="E89" s="63"/>
      <c r="F89" s="63"/>
      <c r="G89" s="63"/>
      <c r="H89" s="63"/>
      <c r="I89" s="63"/>
      <c r="J89" s="55">
        <f>'Memória de Cálculo'!C51</f>
        <v>1.1250000000000001E-4</v>
      </c>
      <c r="K89" s="30">
        <f>J89*(J26+J27+J29+J30)</f>
        <v>0.31494458863636365</v>
      </c>
      <c r="L89" s="11"/>
      <c r="M89" s="11"/>
    </row>
    <row r="90" spans="1:42" ht="15" customHeight="1" x14ac:dyDescent="0.25">
      <c r="A90" s="23" t="s">
        <v>11</v>
      </c>
      <c r="B90" s="62" t="s">
        <v>72</v>
      </c>
      <c r="C90" s="63"/>
      <c r="D90" s="63"/>
      <c r="E90" s="63"/>
      <c r="F90" s="63"/>
      <c r="G90" s="63"/>
      <c r="H90" s="63"/>
      <c r="I90" s="63"/>
      <c r="J90" s="55">
        <f>'Memória de Cálculo'!C52</f>
        <v>4.1666666666666664E-2</v>
      </c>
      <c r="K90" s="30">
        <f>J90*(J26+J27+J29+J30)</f>
        <v>116.64614393939394</v>
      </c>
      <c r="L90" s="11"/>
      <c r="M90" s="11"/>
    </row>
    <row r="91" spans="1:42" ht="15" customHeight="1" x14ac:dyDescent="0.25">
      <c r="A91" s="23" t="s">
        <v>12</v>
      </c>
      <c r="B91" s="62" t="s">
        <v>276</v>
      </c>
      <c r="C91" s="63"/>
      <c r="D91" s="63"/>
      <c r="E91" s="63"/>
      <c r="F91" s="63"/>
      <c r="G91" s="63"/>
      <c r="H91" s="63"/>
      <c r="I91" s="63"/>
      <c r="J91" s="55">
        <f>'Memória de Cálculo'!C53</f>
        <v>1.3888888888888888E-2</v>
      </c>
      <c r="K91" s="30">
        <f>J91*(J26+J27+J29+J30)</f>
        <v>38.882047979797974</v>
      </c>
      <c r="L91" s="11"/>
      <c r="M91" s="11"/>
      <c r="O91" s="68"/>
    </row>
    <row r="92" spans="1:42" ht="15" customHeight="1" x14ac:dyDescent="0.25">
      <c r="A92" s="23"/>
      <c r="B92" s="281" t="s">
        <v>138</v>
      </c>
      <c r="C92" s="312"/>
      <c r="D92" s="312"/>
      <c r="E92" s="312"/>
      <c r="F92" s="312"/>
      <c r="G92" s="282"/>
      <c r="H92" s="216"/>
      <c r="I92" s="216"/>
      <c r="J92" s="67">
        <f>SUM(J86:J91)</f>
        <v>7.1470833333333331E-2</v>
      </c>
      <c r="K92" s="30"/>
      <c r="L92" s="11"/>
      <c r="M92" s="11"/>
    </row>
    <row r="93" spans="1:42" ht="15" customHeight="1" x14ac:dyDescent="0.25">
      <c r="A93" s="23" t="s">
        <v>23</v>
      </c>
      <c r="B93" s="62" t="s">
        <v>332</v>
      </c>
      <c r="C93" s="63"/>
      <c r="D93" s="63"/>
      <c r="E93" s="63"/>
      <c r="F93" s="63"/>
      <c r="G93" s="63"/>
      <c r="H93" s="63"/>
      <c r="I93" s="63"/>
      <c r="J93" s="55">
        <f>SUM(J86:J89)*J51</f>
        <v>5.8568222222222235E-3</v>
      </c>
      <c r="K93" s="30">
        <f>J93*(J26+J27+J29+J30)</f>
        <v>16.396217471058588</v>
      </c>
      <c r="L93" s="11"/>
      <c r="M93" s="11"/>
    </row>
    <row r="94" spans="1:42" ht="15" customHeight="1" x14ac:dyDescent="0.25">
      <c r="A94" s="281" t="s">
        <v>68</v>
      </c>
      <c r="B94" s="312"/>
      <c r="C94" s="312"/>
      <c r="D94" s="312"/>
      <c r="E94" s="312"/>
      <c r="F94" s="312"/>
      <c r="G94" s="282"/>
      <c r="H94" s="216"/>
      <c r="I94" s="216"/>
      <c r="J94" s="42">
        <f>J92+J93</f>
        <v>7.7327655555555555E-2</v>
      </c>
      <c r="K94" s="41">
        <f>SUM(K86:K91,K93:K93)</f>
        <v>216.47934817030099</v>
      </c>
      <c r="L94" s="11"/>
      <c r="M94" s="11"/>
    </row>
    <row r="95" spans="1:42" ht="15" customHeight="1" x14ac:dyDescent="0.25">
      <c r="A95" s="309"/>
      <c r="B95" s="309"/>
      <c r="C95" s="309"/>
      <c r="D95" s="309"/>
      <c r="E95" s="309"/>
      <c r="F95" s="309"/>
      <c r="G95" s="309"/>
      <c r="H95" s="309"/>
      <c r="I95" s="309"/>
      <c r="J95" s="309"/>
      <c r="K95" s="309"/>
      <c r="L95" s="11"/>
      <c r="M95" s="11"/>
    </row>
    <row r="96" spans="1:42" ht="15" customHeight="1" x14ac:dyDescent="0.25">
      <c r="A96" s="310" t="s">
        <v>71</v>
      </c>
      <c r="B96" s="310"/>
      <c r="C96" s="310"/>
      <c r="D96" s="310"/>
      <c r="E96" s="310"/>
      <c r="F96" s="310"/>
      <c r="G96" s="310"/>
      <c r="H96" s="310"/>
      <c r="I96" s="310"/>
      <c r="J96" s="310"/>
      <c r="K96" s="310"/>
      <c r="L96" s="11"/>
      <c r="M96" s="11"/>
    </row>
    <row r="97" spans="1:14" ht="15" customHeight="1" x14ac:dyDescent="0.25">
      <c r="A97" s="311"/>
      <c r="B97" s="311"/>
      <c r="C97" s="311"/>
      <c r="D97" s="311"/>
      <c r="E97" s="311"/>
      <c r="F97" s="311"/>
      <c r="G97" s="311"/>
      <c r="H97" s="311"/>
      <c r="I97" s="311"/>
      <c r="J97" s="311"/>
      <c r="K97" s="311"/>
      <c r="L97" s="11"/>
      <c r="M97" s="11"/>
    </row>
    <row r="98" spans="1:14" ht="15" customHeight="1" x14ac:dyDescent="0.25">
      <c r="A98" s="39">
        <v>4</v>
      </c>
      <c r="B98" s="99" t="s">
        <v>70</v>
      </c>
      <c r="C98" s="100"/>
      <c r="D98" s="100"/>
      <c r="E98" s="100"/>
      <c r="F98" s="100"/>
      <c r="G98" s="100"/>
      <c r="H98" s="100"/>
      <c r="I98" s="100"/>
      <c r="J98" s="312" t="s">
        <v>10</v>
      </c>
      <c r="K98" s="282"/>
      <c r="L98" s="199"/>
      <c r="M98" s="11"/>
    </row>
    <row r="99" spans="1:14" ht="15" customHeight="1" x14ac:dyDescent="0.25">
      <c r="A99" s="24" t="s">
        <v>17</v>
      </c>
      <c r="B99" s="97" t="s">
        <v>69</v>
      </c>
      <c r="C99" s="98"/>
      <c r="D99" s="98"/>
      <c r="E99" s="98"/>
      <c r="F99" s="98"/>
      <c r="G99" s="98"/>
      <c r="H99" s="98"/>
      <c r="I99" s="98"/>
      <c r="J99" s="313">
        <f>K94</f>
        <v>216.47934817030099</v>
      </c>
      <c r="K99" s="314"/>
      <c r="L99" s="200"/>
      <c r="M99" s="11"/>
    </row>
    <row r="100" spans="1:14" ht="15" customHeight="1" x14ac:dyDescent="0.25">
      <c r="A100" s="60" t="s">
        <v>68</v>
      </c>
      <c r="B100" s="59"/>
      <c r="C100" s="59"/>
      <c r="D100" s="59"/>
      <c r="E100" s="59"/>
      <c r="F100" s="59"/>
      <c r="G100" s="59"/>
      <c r="H100" s="59"/>
      <c r="I100" s="59"/>
      <c r="J100" s="315">
        <f>SUM(J99:L99)</f>
        <v>216.47934817030099</v>
      </c>
      <c r="K100" s="316"/>
      <c r="L100" s="201"/>
      <c r="M100" s="11"/>
    </row>
    <row r="101" spans="1:14" ht="15" customHeight="1" x14ac:dyDescent="0.25">
      <c r="A101" s="306"/>
      <c r="B101" s="306"/>
      <c r="C101" s="306"/>
      <c r="D101" s="306"/>
      <c r="E101" s="306"/>
      <c r="F101" s="306"/>
      <c r="G101" s="306"/>
      <c r="H101" s="306"/>
      <c r="I101" s="306"/>
      <c r="J101" s="306"/>
      <c r="K101" s="306"/>
      <c r="L101" s="11"/>
      <c r="M101" s="11"/>
    </row>
    <row r="102" spans="1:14" ht="15" customHeight="1" x14ac:dyDescent="0.25">
      <c r="A102" s="286" t="s">
        <v>67</v>
      </c>
      <c r="B102" s="287"/>
      <c r="C102" s="287"/>
      <c r="D102" s="287"/>
      <c r="E102" s="287"/>
      <c r="F102" s="287"/>
      <c r="G102" s="287"/>
      <c r="H102" s="287"/>
      <c r="I102" s="287"/>
      <c r="J102" s="287"/>
      <c r="K102" s="288"/>
      <c r="L102" s="11"/>
      <c r="M102" s="11"/>
    </row>
    <row r="103" spans="1:14" ht="15" customHeight="1" x14ac:dyDescent="0.25">
      <c r="A103" s="40">
        <v>5</v>
      </c>
      <c r="B103" s="307" t="s">
        <v>13</v>
      </c>
      <c r="C103" s="307"/>
      <c r="D103" s="307"/>
      <c r="E103" s="307"/>
      <c r="F103" s="307"/>
      <c r="G103" s="307"/>
      <c r="H103" s="215"/>
      <c r="I103" s="215"/>
      <c r="J103" s="308" t="s">
        <v>10</v>
      </c>
      <c r="K103" s="308"/>
      <c r="L103" s="11"/>
      <c r="M103" s="11"/>
    </row>
    <row r="104" spans="1:14" ht="15" customHeight="1" x14ac:dyDescent="0.25">
      <c r="A104" s="24" t="s">
        <v>2</v>
      </c>
      <c r="B104" s="301" t="s">
        <v>14</v>
      </c>
      <c r="C104" s="302"/>
      <c r="D104" s="302"/>
      <c r="E104" s="302"/>
      <c r="F104" s="302"/>
      <c r="G104" s="303"/>
      <c r="H104" s="214"/>
      <c r="I104" s="214"/>
      <c r="J104" s="300">
        <f>Uniformes!I21</f>
        <v>264.22733333333332</v>
      </c>
      <c r="K104" s="300"/>
      <c r="L104" s="11"/>
      <c r="M104" s="11"/>
    </row>
    <row r="105" spans="1:14" ht="15" customHeight="1" x14ac:dyDescent="0.25">
      <c r="A105" s="24" t="s">
        <v>3</v>
      </c>
      <c r="B105" s="297" t="s">
        <v>16</v>
      </c>
      <c r="C105" s="298"/>
      <c r="D105" s="298"/>
      <c r="E105" s="298"/>
      <c r="F105" s="298"/>
      <c r="G105" s="299"/>
      <c r="H105" s="212"/>
      <c r="I105" s="212"/>
      <c r="J105" s="300">
        <f>'Insumos e Equipamentos'!N19</f>
        <v>25.197484444444445</v>
      </c>
      <c r="K105" s="300"/>
      <c r="L105" s="11"/>
      <c r="M105" s="11"/>
    </row>
    <row r="106" spans="1:14" ht="15" customHeight="1" x14ac:dyDescent="0.25">
      <c r="A106" s="24" t="s">
        <v>4</v>
      </c>
      <c r="B106" s="301" t="s">
        <v>15</v>
      </c>
      <c r="C106" s="302"/>
      <c r="D106" s="302"/>
      <c r="E106" s="302"/>
      <c r="F106" s="302"/>
      <c r="G106" s="303"/>
      <c r="H106" s="214"/>
      <c r="I106" s="214"/>
      <c r="J106" s="300">
        <f>'Insumos e Equipamentos'!J12</f>
        <v>53.792672777777774</v>
      </c>
      <c r="K106" s="300"/>
      <c r="L106" s="11"/>
      <c r="M106" s="11"/>
    </row>
    <row r="107" spans="1:14" ht="15" customHeight="1" x14ac:dyDescent="0.25">
      <c r="A107" s="24" t="s">
        <v>5</v>
      </c>
      <c r="B107" s="301" t="s">
        <v>100</v>
      </c>
      <c r="C107" s="302"/>
      <c r="D107" s="302"/>
      <c r="E107" s="302"/>
      <c r="F107" s="302"/>
      <c r="G107" s="303"/>
      <c r="H107" s="213"/>
      <c r="I107" s="213"/>
      <c r="J107" s="304"/>
      <c r="K107" s="305"/>
      <c r="L107" s="11"/>
      <c r="M107" s="11"/>
    </row>
    <row r="108" spans="1:14" ht="15" customHeight="1" x14ac:dyDescent="0.25">
      <c r="A108" s="278" t="s">
        <v>37</v>
      </c>
      <c r="B108" s="278"/>
      <c r="C108" s="278"/>
      <c r="D108" s="278"/>
      <c r="E108" s="278"/>
      <c r="F108" s="278"/>
      <c r="G108" s="278"/>
      <c r="H108" s="39"/>
      <c r="I108" s="39"/>
      <c r="J108" s="289">
        <f>SUM(J104:K106)</f>
        <v>343.21749055555557</v>
      </c>
      <c r="K108" s="289"/>
      <c r="L108" s="11"/>
      <c r="M108" s="11"/>
    </row>
    <row r="109" spans="1:14" ht="15" customHeight="1" x14ac:dyDescent="0.25">
      <c r="A109" s="295"/>
      <c r="B109" s="295"/>
      <c r="C109" s="295"/>
      <c r="D109" s="295"/>
      <c r="E109" s="295"/>
      <c r="F109" s="295"/>
      <c r="G109" s="295"/>
      <c r="H109" s="295"/>
      <c r="I109" s="295"/>
      <c r="J109" s="295"/>
      <c r="K109" s="295"/>
      <c r="L109" s="11"/>
      <c r="M109" s="11"/>
    </row>
    <row r="110" spans="1:14" ht="15" customHeight="1" x14ac:dyDescent="0.25">
      <c r="A110" s="286" t="s">
        <v>65</v>
      </c>
      <c r="B110" s="287"/>
      <c r="C110" s="287"/>
      <c r="D110" s="287"/>
      <c r="E110" s="287"/>
      <c r="F110" s="287"/>
      <c r="G110" s="287"/>
      <c r="H110" s="287"/>
      <c r="I110" s="287"/>
      <c r="J110" s="287"/>
      <c r="K110" s="288"/>
      <c r="L110" s="11"/>
      <c r="M110" s="11"/>
    </row>
    <row r="111" spans="1:14" ht="15" customHeight="1" x14ac:dyDescent="0.25">
      <c r="A111" s="39">
        <v>6</v>
      </c>
      <c r="B111" s="296" t="s">
        <v>27</v>
      </c>
      <c r="C111" s="296"/>
      <c r="D111" s="296"/>
      <c r="E111" s="296"/>
      <c r="F111" s="296"/>
      <c r="G111" s="296"/>
      <c r="H111" s="211"/>
      <c r="I111" s="211"/>
      <c r="J111" s="39" t="s">
        <v>64</v>
      </c>
      <c r="K111" s="39" t="s">
        <v>10</v>
      </c>
      <c r="L111" s="11"/>
      <c r="M111" s="11"/>
    </row>
    <row r="112" spans="1:14" ht="15" customHeight="1" x14ac:dyDescent="0.25">
      <c r="A112" s="24" t="s">
        <v>2</v>
      </c>
      <c r="B112" s="276" t="s">
        <v>63</v>
      </c>
      <c r="C112" s="276"/>
      <c r="D112" s="276"/>
      <c r="E112" s="276"/>
      <c r="F112" s="276"/>
      <c r="G112" s="276"/>
      <c r="H112" s="210"/>
      <c r="I112" s="210"/>
      <c r="J112" s="34">
        <v>0.06</v>
      </c>
      <c r="K112" s="35">
        <f>J128*J112</f>
        <v>359.10483501017029</v>
      </c>
      <c r="L112" s="11"/>
      <c r="M112" s="11"/>
      <c r="N112" s="53"/>
    </row>
    <row r="113" spans="1:14" ht="15" customHeight="1" x14ac:dyDescent="0.25">
      <c r="A113" s="24" t="s">
        <v>3</v>
      </c>
      <c r="B113" s="276" t="s">
        <v>28</v>
      </c>
      <c r="C113" s="276"/>
      <c r="D113" s="276"/>
      <c r="E113" s="276"/>
      <c r="F113" s="276"/>
      <c r="G113" s="276"/>
      <c r="H113" s="210"/>
      <c r="I113" s="210"/>
      <c r="J113" s="34">
        <v>6.7900000000000002E-2</v>
      </c>
      <c r="K113" s="35">
        <f>(K112+J128)*J113</f>
        <v>430.77018991703329</v>
      </c>
      <c r="L113" s="11"/>
      <c r="M113" s="11"/>
      <c r="N113" s="52"/>
    </row>
    <row r="114" spans="1:14" ht="15" customHeight="1" x14ac:dyDescent="0.25">
      <c r="A114" s="24" t="s">
        <v>4</v>
      </c>
      <c r="B114" s="276" t="s">
        <v>29</v>
      </c>
      <c r="C114" s="276"/>
      <c r="D114" s="276"/>
      <c r="E114" s="276"/>
      <c r="F114" s="276"/>
      <c r="G114" s="276"/>
      <c r="H114" s="210"/>
      <c r="I114" s="210"/>
      <c r="J114" s="34">
        <f>SUM(J115:J117)</f>
        <v>8.6499999999999994E-2</v>
      </c>
      <c r="K114" s="35"/>
      <c r="L114" s="11"/>
      <c r="M114" s="11"/>
    </row>
    <row r="115" spans="1:14" ht="15" customHeight="1" x14ac:dyDescent="0.25">
      <c r="A115" s="292" t="s">
        <v>62</v>
      </c>
      <c r="B115" s="292"/>
      <c r="C115" s="293" t="s">
        <v>61</v>
      </c>
      <c r="D115" s="25" t="s">
        <v>30</v>
      </c>
      <c r="E115" s="26"/>
      <c r="F115" s="26"/>
      <c r="G115" s="28"/>
      <c r="H115" s="28"/>
      <c r="I115" s="28"/>
      <c r="J115" s="34">
        <v>6.4999999999999997E-3</v>
      </c>
      <c r="K115" s="35">
        <f>((J128+K112+K113)/(1-(J114)))*J115</f>
        <v>48.207128029332537</v>
      </c>
      <c r="L115" s="11"/>
      <c r="M115" s="11"/>
    </row>
    <row r="116" spans="1:14" ht="15" customHeight="1" x14ac:dyDescent="0.25">
      <c r="A116" s="292" t="s">
        <v>60</v>
      </c>
      <c r="B116" s="292"/>
      <c r="C116" s="294"/>
      <c r="D116" s="25" t="s">
        <v>31</v>
      </c>
      <c r="E116" s="26"/>
      <c r="F116" s="26"/>
      <c r="G116" s="28"/>
      <c r="H116" s="28"/>
      <c r="I116" s="28"/>
      <c r="J116" s="34">
        <v>0.03</v>
      </c>
      <c r="K116" s="35">
        <f>((J128+K112+K113)/(1-(J114)))*J116</f>
        <v>222.49443705845786</v>
      </c>
      <c r="L116" s="11"/>
      <c r="M116" s="11"/>
    </row>
    <row r="117" spans="1:14" ht="15" customHeight="1" x14ac:dyDescent="0.25">
      <c r="A117" s="292" t="s">
        <v>59</v>
      </c>
      <c r="B117" s="292"/>
      <c r="C117" s="36" t="s">
        <v>58</v>
      </c>
      <c r="D117" s="25" t="s">
        <v>32</v>
      </c>
      <c r="E117" s="26"/>
      <c r="F117" s="26"/>
      <c r="G117" s="28"/>
      <c r="H117" s="28"/>
      <c r="I117" s="28"/>
      <c r="J117" s="34">
        <v>0.05</v>
      </c>
      <c r="K117" s="35">
        <f>((J128+K112+K113)/(1-(J114)))*J117</f>
        <v>370.82406176409648</v>
      </c>
      <c r="L117" s="11"/>
      <c r="M117" s="11"/>
    </row>
    <row r="118" spans="1:14" ht="15" customHeight="1" x14ac:dyDescent="0.25">
      <c r="A118" s="278" t="s">
        <v>37</v>
      </c>
      <c r="B118" s="278"/>
      <c r="C118" s="278"/>
      <c r="D118" s="278"/>
      <c r="E118" s="278"/>
      <c r="F118" s="278"/>
      <c r="G118" s="278"/>
      <c r="H118" s="39"/>
      <c r="I118" s="39"/>
      <c r="J118" s="38">
        <f>J114+J113+J112</f>
        <v>0.21439999999999998</v>
      </c>
      <c r="K118" s="37">
        <f>J128*J118</f>
        <v>1283.2012771030086</v>
      </c>
      <c r="L118" s="11"/>
      <c r="M118" s="11"/>
    </row>
    <row r="119" spans="1:14" ht="15" customHeight="1" x14ac:dyDescent="0.25">
      <c r="A119" s="290"/>
      <c r="B119" s="290"/>
      <c r="C119" s="290"/>
      <c r="D119" s="290"/>
      <c r="E119" s="290"/>
      <c r="F119" s="290"/>
      <c r="G119" s="290"/>
      <c r="H119" s="290"/>
      <c r="I119" s="290"/>
      <c r="J119" s="290"/>
      <c r="K119" s="290"/>
      <c r="L119" s="11"/>
      <c r="M119" s="11"/>
    </row>
    <row r="120" spans="1:14" ht="15" customHeight="1" x14ac:dyDescent="0.25">
      <c r="A120" s="285" t="s">
        <v>33</v>
      </c>
      <c r="B120" s="285"/>
      <c r="C120" s="285"/>
      <c r="D120" s="285"/>
      <c r="E120" s="285"/>
      <c r="F120" s="285"/>
      <c r="G120" s="285"/>
      <c r="H120" s="285"/>
      <c r="I120" s="285"/>
      <c r="J120" s="285"/>
      <c r="K120" s="285"/>
      <c r="L120" s="11"/>
      <c r="M120" s="11"/>
    </row>
    <row r="121" spans="1:14" ht="15" customHeight="1" x14ac:dyDescent="0.25">
      <c r="A121" s="291"/>
      <c r="B121" s="291"/>
      <c r="C121" s="291"/>
      <c r="D121" s="291"/>
      <c r="E121" s="291"/>
      <c r="F121" s="291"/>
      <c r="G121" s="291"/>
      <c r="H121" s="291"/>
      <c r="I121" s="291"/>
      <c r="J121" s="291"/>
      <c r="K121" s="291"/>
      <c r="L121" s="11"/>
      <c r="M121" s="11"/>
    </row>
    <row r="122" spans="1:14" ht="15" customHeight="1" x14ac:dyDescent="0.25">
      <c r="A122" s="278" t="s">
        <v>57</v>
      </c>
      <c r="B122" s="278"/>
      <c r="C122" s="278"/>
      <c r="D122" s="278"/>
      <c r="E122" s="278"/>
      <c r="F122" s="278"/>
      <c r="G122" s="278"/>
      <c r="H122" s="39"/>
      <c r="I122" s="39"/>
      <c r="J122" s="278" t="s">
        <v>10</v>
      </c>
      <c r="K122" s="278"/>
      <c r="L122" s="11"/>
      <c r="M122" s="11"/>
    </row>
    <row r="123" spans="1:14" ht="15" customHeight="1" x14ac:dyDescent="0.25">
      <c r="A123" s="24" t="s">
        <v>2</v>
      </c>
      <c r="B123" s="276" t="s">
        <v>34</v>
      </c>
      <c r="C123" s="276"/>
      <c r="D123" s="276"/>
      <c r="E123" s="276"/>
      <c r="F123" s="276"/>
      <c r="G123" s="276"/>
      <c r="H123" s="210"/>
      <c r="I123" s="210"/>
      <c r="J123" s="277">
        <f>J34</f>
        <v>2799.5074545454545</v>
      </c>
      <c r="K123" s="277"/>
      <c r="L123" s="11"/>
      <c r="M123" s="11"/>
    </row>
    <row r="124" spans="1:14" ht="15" customHeight="1" x14ac:dyDescent="0.25">
      <c r="A124" s="24" t="s">
        <v>3</v>
      </c>
      <c r="B124" s="276" t="s">
        <v>56</v>
      </c>
      <c r="C124" s="276"/>
      <c r="D124" s="276"/>
      <c r="E124" s="276"/>
      <c r="F124" s="276"/>
      <c r="G124" s="276"/>
      <c r="H124" s="210"/>
      <c r="I124" s="210"/>
      <c r="J124" s="277">
        <f>J71</f>
        <v>2435.3838054869816</v>
      </c>
      <c r="K124" s="277"/>
      <c r="L124" s="11"/>
      <c r="M124" s="11"/>
    </row>
    <row r="125" spans="1:14" ht="15" customHeight="1" x14ac:dyDescent="0.25">
      <c r="A125" s="24" t="s">
        <v>4</v>
      </c>
      <c r="B125" s="276" t="s">
        <v>55</v>
      </c>
      <c r="C125" s="276"/>
      <c r="D125" s="276"/>
      <c r="E125" s="276"/>
      <c r="F125" s="276"/>
      <c r="G125" s="276"/>
      <c r="H125" s="210"/>
      <c r="I125" s="210"/>
      <c r="J125" s="277">
        <f>J81</f>
        <v>190.49248474454544</v>
      </c>
      <c r="K125" s="277"/>
      <c r="L125" s="11"/>
      <c r="M125" s="11"/>
    </row>
    <row r="126" spans="1:14" ht="15" customHeight="1" x14ac:dyDescent="0.25">
      <c r="A126" s="24" t="s">
        <v>5</v>
      </c>
      <c r="B126" s="276" t="s">
        <v>54</v>
      </c>
      <c r="C126" s="276"/>
      <c r="D126" s="276"/>
      <c r="E126" s="276"/>
      <c r="F126" s="276"/>
      <c r="G126" s="276"/>
      <c r="H126" s="210"/>
      <c r="I126" s="210"/>
      <c r="J126" s="277">
        <f>J100</f>
        <v>216.47934817030099</v>
      </c>
      <c r="K126" s="277"/>
      <c r="L126" s="11"/>
      <c r="M126" s="11"/>
    </row>
    <row r="127" spans="1:14" ht="15" customHeight="1" x14ac:dyDescent="0.25">
      <c r="A127" s="24" t="s">
        <v>11</v>
      </c>
      <c r="B127" s="276" t="s">
        <v>53</v>
      </c>
      <c r="C127" s="276"/>
      <c r="D127" s="276"/>
      <c r="E127" s="276"/>
      <c r="F127" s="276"/>
      <c r="G127" s="276"/>
      <c r="H127" s="210"/>
      <c r="I127" s="210"/>
      <c r="J127" s="277">
        <f>J108</f>
        <v>343.21749055555557</v>
      </c>
      <c r="K127" s="277"/>
      <c r="L127" s="11"/>
      <c r="M127" s="11"/>
    </row>
    <row r="128" spans="1:14" ht="15" customHeight="1" x14ac:dyDescent="0.25">
      <c r="A128" s="278" t="s">
        <v>52</v>
      </c>
      <c r="B128" s="278"/>
      <c r="C128" s="278"/>
      <c r="D128" s="278"/>
      <c r="E128" s="278"/>
      <c r="F128" s="278"/>
      <c r="G128" s="278"/>
      <c r="H128" s="39"/>
      <c r="I128" s="39"/>
      <c r="J128" s="289">
        <f>SUM(J123:K127)</f>
        <v>5985.0805835028386</v>
      </c>
      <c r="K128" s="289"/>
      <c r="L128" s="11"/>
      <c r="M128" s="11"/>
    </row>
    <row r="129" spans="1:13" ht="15" customHeight="1" x14ac:dyDescent="0.25">
      <c r="A129" s="24" t="s">
        <v>12</v>
      </c>
      <c r="B129" s="276" t="s">
        <v>51</v>
      </c>
      <c r="C129" s="276"/>
      <c r="D129" s="276"/>
      <c r="E129" s="276"/>
      <c r="F129" s="276"/>
      <c r="G129" s="276"/>
      <c r="H129" s="210"/>
      <c r="I129" s="210"/>
      <c r="J129" s="277">
        <f>K118</f>
        <v>1283.2012771030086</v>
      </c>
      <c r="K129" s="277"/>
      <c r="L129" s="11"/>
      <c r="M129" s="11"/>
    </row>
    <row r="130" spans="1:13" ht="15" customHeight="1" x14ac:dyDescent="0.25">
      <c r="A130" s="278" t="s">
        <v>50</v>
      </c>
      <c r="B130" s="278"/>
      <c r="C130" s="278"/>
      <c r="D130" s="278"/>
      <c r="E130" s="278"/>
      <c r="F130" s="278"/>
      <c r="G130" s="278"/>
      <c r="H130" s="39"/>
      <c r="I130" s="39"/>
      <c r="J130" s="395">
        <f>SUM(J128:J129)+J138</f>
        <v>7312.9864722026787</v>
      </c>
      <c r="K130" s="395"/>
      <c r="L130" s="11"/>
      <c r="M130" s="11"/>
    </row>
    <row r="131" spans="1:13" ht="15" customHeight="1" x14ac:dyDescent="0.25">
      <c r="K131" s="206">
        <f>J130</f>
        <v>7312.9864722026787</v>
      </c>
      <c r="M131" s="46"/>
    </row>
    <row r="132" spans="1:13" ht="15" customHeight="1" x14ac:dyDescent="0.25">
      <c r="A132" s="285" t="s">
        <v>150</v>
      </c>
      <c r="B132" s="285"/>
      <c r="C132" s="285"/>
      <c r="D132" s="285"/>
      <c r="E132" s="285"/>
      <c r="F132" s="285"/>
      <c r="G132" s="285"/>
      <c r="H132" s="285"/>
      <c r="I132" s="285"/>
      <c r="J132" s="285"/>
      <c r="K132" s="285"/>
    </row>
    <row r="133" spans="1:13" ht="15" customHeight="1" x14ac:dyDescent="0.25">
      <c r="A133" s="286" t="s">
        <v>282</v>
      </c>
      <c r="B133" s="287"/>
      <c r="C133" s="287"/>
      <c r="D133" s="287"/>
      <c r="E133" s="287"/>
      <c r="F133" s="287"/>
      <c r="G133" s="287"/>
      <c r="H133" s="287"/>
      <c r="I133" s="287"/>
      <c r="J133" s="287"/>
      <c r="K133" s="288"/>
    </row>
    <row r="134" spans="1:13" ht="15" customHeight="1" x14ac:dyDescent="0.25">
      <c r="A134" s="278" t="s">
        <v>151</v>
      </c>
      <c r="B134" s="278"/>
      <c r="C134" s="278"/>
      <c r="D134" s="278"/>
      <c r="E134" s="278"/>
      <c r="F134" s="278"/>
      <c r="G134" s="278"/>
      <c r="H134" s="281" t="s">
        <v>319</v>
      </c>
      <c r="I134" s="282"/>
      <c r="J134" s="278" t="s">
        <v>10</v>
      </c>
      <c r="K134" s="278"/>
      <c r="L134" s="11"/>
      <c r="M134" s="11"/>
    </row>
    <row r="135" spans="1:13" ht="15" customHeight="1" x14ac:dyDescent="0.25">
      <c r="A135" s="24" t="s">
        <v>2</v>
      </c>
      <c r="B135" s="276" t="s">
        <v>278</v>
      </c>
      <c r="C135" s="276"/>
      <c r="D135" s="276"/>
      <c r="E135" s="276"/>
      <c r="F135" s="276"/>
      <c r="G135" s="276"/>
      <c r="H135" s="283">
        <v>8.3299999999999999E-2</v>
      </c>
      <c r="I135" s="284"/>
      <c r="J135" s="277">
        <f>K38</f>
        <v>233.19897096363636</v>
      </c>
      <c r="K135" s="277"/>
      <c r="L135" s="11"/>
      <c r="M135" s="11"/>
    </row>
    <row r="136" spans="1:13" ht="15" customHeight="1" x14ac:dyDescent="0.25">
      <c r="A136" s="24" t="s">
        <v>3</v>
      </c>
      <c r="B136" s="276" t="s">
        <v>279</v>
      </c>
      <c r="C136" s="276"/>
      <c r="D136" s="276"/>
      <c r="E136" s="276"/>
      <c r="F136" s="276"/>
      <c r="G136" s="276"/>
      <c r="H136" s="283">
        <v>0.121</v>
      </c>
      <c r="I136" s="284"/>
      <c r="J136" s="277">
        <f>K39</f>
        <v>338.74040199999996</v>
      </c>
      <c r="K136" s="277"/>
      <c r="L136" s="11"/>
      <c r="M136" s="11"/>
    </row>
    <row r="137" spans="1:13" ht="15" customHeight="1" x14ac:dyDescent="0.25">
      <c r="A137" s="24" t="s">
        <v>4</v>
      </c>
      <c r="B137" s="276" t="s">
        <v>320</v>
      </c>
      <c r="C137" s="276"/>
      <c r="D137" s="276"/>
      <c r="E137" s="276"/>
      <c r="F137" s="276"/>
      <c r="G137" s="276"/>
      <c r="H137" s="283">
        <v>0.04</v>
      </c>
      <c r="I137" s="284"/>
      <c r="J137" s="277">
        <f>(J77+J80)*(J26+J27+J29+J30)</f>
        <v>111.98029818181818</v>
      </c>
      <c r="K137" s="277"/>
      <c r="L137" s="11"/>
      <c r="M137" s="11"/>
    </row>
    <row r="138" spans="1:13" ht="15" customHeight="1" x14ac:dyDescent="0.25">
      <c r="A138" s="24" t="s">
        <v>5</v>
      </c>
      <c r="B138" s="276" t="s">
        <v>280</v>
      </c>
      <c r="C138" s="276"/>
      <c r="D138" s="276"/>
      <c r="E138" s="276"/>
      <c r="F138" s="276"/>
      <c r="G138" s="276"/>
      <c r="H138" s="283">
        <f>(0.368-0.03+J45)*0.2124</f>
        <v>7.8163200000000002E-2</v>
      </c>
      <c r="I138" s="284"/>
      <c r="J138" s="277">
        <f>(J51*(J40+0.81%))*K40</f>
        <v>44.704611596831299</v>
      </c>
      <c r="K138" s="277"/>
      <c r="L138" s="11"/>
      <c r="M138" s="237"/>
    </row>
    <row r="139" spans="1:13" ht="15" customHeight="1" x14ac:dyDescent="0.25">
      <c r="A139" s="278" t="s">
        <v>152</v>
      </c>
      <c r="B139" s="278"/>
      <c r="C139" s="278"/>
      <c r="D139" s="278"/>
      <c r="E139" s="278"/>
      <c r="F139" s="278"/>
      <c r="G139" s="278"/>
      <c r="H139" s="235" t="s">
        <v>323</v>
      </c>
      <c r="I139" s="236">
        <f>SUM(H135,H136,H137,H138)</f>
        <v>0.32246320000000001</v>
      </c>
      <c r="J139" s="395">
        <f>SUM(J135:K138)</f>
        <v>728.6242827422858</v>
      </c>
      <c r="K139" s="395"/>
      <c r="L139" s="11"/>
      <c r="M139" s="11"/>
    </row>
    <row r="140" spans="1:13" ht="15" customHeight="1" x14ac:dyDescent="0.25">
      <c r="K140" s="206">
        <f>J139</f>
        <v>728.6242827422858</v>
      </c>
    </row>
  </sheetData>
  <mergeCells count="196">
    <mergeCell ref="B138:G138"/>
    <mergeCell ref="J138:K138"/>
    <mergeCell ref="A139:G139"/>
    <mergeCell ref="J139:K139"/>
    <mergeCell ref="A130:G130"/>
    <mergeCell ref="J130:K130"/>
    <mergeCell ref="A132:K132"/>
    <mergeCell ref="A134:G134"/>
    <mergeCell ref="J134:K134"/>
    <mergeCell ref="B135:G135"/>
    <mergeCell ref="J135:K135"/>
    <mergeCell ref="B136:G136"/>
    <mergeCell ref="J136:K136"/>
    <mergeCell ref="H134:I134"/>
    <mergeCell ref="H135:I135"/>
    <mergeCell ref="H136:I136"/>
    <mergeCell ref="H137:I137"/>
    <mergeCell ref="H138:I138"/>
    <mergeCell ref="J127:K127"/>
    <mergeCell ref="A128:G128"/>
    <mergeCell ref="J29:K29"/>
    <mergeCell ref="B137:G137"/>
    <mergeCell ref="J137:K137"/>
    <mergeCell ref="B129:G129"/>
    <mergeCell ref="J129:K129"/>
    <mergeCell ref="A101:K101"/>
    <mergeCell ref="B103:G103"/>
    <mergeCell ref="J103:K103"/>
    <mergeCell ref="A51:G51"/>
    <mergeCell ref="A52:K52"/>
    <mergeCell ref="B49:G49"/>
    <mergeCell ref="B50:G50"/>
    <mergeCell ref="B37:G37"/>
    <mergeCell ref="B38:G38"/>
    <mergeCell ref="J33:K33"/>
    <mergeCell ref="A35:K35"/>
    <mergeCell ref="B48:G48"/>
    <mergeCell ref="B32:G32"/>
    <mergeCell ref="J32:K32"/>
    <mergeCell ref="B45:G45"/>
    <mergeCell ref="B46:G46"/>
    <mergeCell ref="B47:G47"/>
    <mergeCell ref="M82:AB82"/>
    <mergeCell ref="A83:K83"/>
    <mergeCell ref="A84:K84"/>
    <mergeCell ref="M84:AP84"/>
    <mergeCell ref="B85:G85"/>
    <mergeCell ref="B92:G92"/>
    <mergeCell ref="A94:G94"/>
    <mergeCell ref="A95:K95"/>
    <mergeCell ref="J128:K128"/>
    <mergeCell ref="A118:G118"/>
    <mergeCell ref="A119:K119"/>
    <mergeCell ref="B104:G104"/>
    <mergeCell ref="B105:G105"/>
    <mergeCell ref="B106:G106"/>
    <mergeCell ref="B107:G107"/>
    <mergeCell ref="J107:K107"/>
    <mergeCell ref="A108:G108"/>
    <mergeCell ref="J108:K108"/>
    <mergeCell ref="A109:K109"/>
    <mergeCell ref="A110:K110"/>
    <mergeCell ref="B111:G111"/>
    <mergeCell ref="B112:G112"/>
    <mergeCell ref="B113:G113"/>
    <mergeCell ref="B114:G114"/>
    <mergeCell ref="M73:P73"/>
    <mergeCell ref="M74:P74"/>
    <mergeCell ref="B75:G75"/>
    <mergeCell ref="M75:AC75"/>
    <mergeCell ref="M77:AB77"/>
    <mergeCell ref="B78:G78"/>
    <mergeCell ref="M79:P79"/>
    <mergeCell ref="M80:Q80"/>
    <mergeCell ref="J81:K81"/>
    <mergeCell ref="M57:N57"/>
    <mergeCell ref="B58:C58"/>
    <mergeCell ref="B59:G59"/>
    <mergeCell ref="J59:K59"/>
    <mergeCell ref="B60:G60"/>
    <mergeCell ref="J60:K60"/>
    <mergeCell ref="A63:G63"/>
    <mergeCell ref="A64:K64"/>
    <mergeCell ref="A65:K65"/>
    <mergeCell ref="J63:K63"/>
    <mergeCell ref="A56:A57"/>
    <mergeCell ref="B56:C57"/>
    <mergeCell ref="J56:K57"/>
    <mergeCell ref="M53:N53"/>
    <mergeCell ref="B53:G53"/>
    <mergeCell ref="J53:K53"/>
    <mergeCell ref="M54:N54"/>
    <mergeCell ref="A54:A55"/>
    <mergeCell ref="B54:B55"/>
    <mergeCell ref="J54:K54"/>
    <mergeCell ref="M55:N55"/>
    <mergeCell ref="M56:N56"/>
    <mergeCell ref="J55:K55"/>
    <mergeCell ref="M32:U32"/>
    <mergeCell ref="B33:G33"/>
    <mergeCell ref="M33:Q33"/>
    <mergeCell ref="A34:G34"/>
    <mergeCell ref="J34:K34"/>
    <mergeCell ref="A36:K36"/>
    <mergeCell ref="B39:G39"/>
    <mergeCell ref="A96:K96"/>
    <mergeCell ref="B67:G67"/>
    <mergeCell ref="J67:K67"/>
    <mergeCell ref="B68:G68"/>
    <mergeCell ref="J68:K68"/>
    <mergeCell ref="B69:G69"/>
    <mergeCell ref="J69:K69"/>
    <mergeCell ref="B70:G70"/>
    <mergeCell ref="J70:K70"/>
    <mergeCell ref="A71:G71"/>
    <mergeCell ref="J71:K71"/>
    <mergeCell ref="A72:K72"/>
    <mergeCell ref="A73:K73"/>
    <mergeCell ref="A82:K82"/>
    <mergeCell ref="A66:K66"/>
    <mergeCell ref="J62:K62"/>
    <mergeCell ref="J58:K58"/>
    <mergeCell ref="B42:G42"/>
    <mergeCell ref="B43:G43"/>
    <mergeCell ref="B44:G44"/>
    <mergeCell ref="A41:K41"/>
    <mergeCell ref="B30:G30"/>
    <mergeCell ref="J30:K30"/>
    <mergeCell ref="B26:G26"/>
    <mergeCell ref="J26:K26"/>
    <mergeCell ref="J27:K27"/>
    <mergeCell ref="F28:G28"/>
    <mergeCell ref="J28:K28"/>
    <mergeCell ref="B31:G31"/>
    <mergeCell ref="J31:K31"/>
    <mergeCell ref="B9:F9"/>
    <mergeCell ref="G9:K9"/>
    <mergeCell ref="B10:F10"/>
    <mergeCell ref="G10:K10"/>
    <mergeCell ref="B23:G23"/>
    <mergeCell ref="J23:K23"/>
    <mergeCell ref="A24:K24"/>
    <mergeCell ref="B25:G25"/>
    <mergeCell ref="J25:K25"/>
    <mergeCell ref="B21:G21"/>
    <mergeCell ref="J21:K21"/>
    <mergeCell ref="B22:G22"/>
    <mergeCell ref="J22:K22"/>
    <mergeCell ref="A97:K97"/>
    <mergeCell ref="A102:K102"/>
    <mergeCell ref="B20:G20"/>
    <mergeCell ref="J20:K20"/>
    <mergeCell ref="A1:K1"/>
    <mergeCell ref="A2:K2"/>
    <mergeCell ref="C3:K3"/>
    <mergeCell ref="C4:D4"/>
    <mergeCell ref="A6:K6"/>
    <mergeCell ref="A7:K7"/>
    <mergeCell ref="G11:K11"/>
    <mergeCell ref="A12:K12"/>
    <mergeCell ref="B13:G13"/>
    <mergeCell ref="J13:K13"/>
    <mergeCell ref="C15:K15"/>
    <mergeCell ref="A16:K16"/>
    <mergeCell ref="A17:K17"/>
    <mergeCell ref="A18:K18"/>
    <mergeCell ref="B19:G19"/>
    <mergeCell ref="J19:K19"/>
    <mergeCell ref="B14:G14"/>
    <mergeCell ref="J14:K14"/>
    <mergeCell ref="B8:F8"/>
    <mergeCell ref="G8:K8"/>
    <mergeCell ref="J98:K98"/>
    <mergeCell ref="J99:K99"/>
    <mergeCell ref="J100:K100"/>
    <mergeCell ref="A133:K133"/>
    <mergeCell ref="B124:G124"/>
    <mergeCell ref="J124:K124"/>
    <mergeCell ref="A115:B115"/>
    <mergeCell ref="C115:C116"/>
    <mergeCell ref="A116:B116"/>
    <mergeCell ref="A117:B117"/>
    <mergeCell ref="B125:G125"/>
    <mergeCell ref="J125:K125"/>
    <mergeCell ref="B126:G126"/>
    <mergeCell ref="J126:K126"/>
    <mergeCell ref="J104:K104"/>
    <mergeCell ref="J105:K105"/>
    <mergeCell ref="J106:K106"/>
    <mergeCell ref="J122:K122"/>
    <mergeCell ref="J123:K123"/>
    <mergeCell ref="A120:K120"/>
    <mergeCell ref="A121:K121"/>
    <mergeCell ref="A122:G122"/>
    <mergeCell ref="B123:G123"/>
    <mergeCell ref="B127:G127"/>
  </mergeCells>
  <dataValidations disablePrompts="1" count="1">
    <dataValidation allowBlank="1" sqref="A1 A120" xr:uid="{736A6797-8E2D-48F1-9894-FB0B0FCBD0BB}"/>
  </dataValidations>
  <printOptions horizontalCentered="1"/>
  <pageMargins left="7.874015748031496E-2" right="7.874015748031496E-2" top="1.7716535433070868" bottom="1.3779527559055118" header="0.31496062992125984" footer="0.31496062992125984"/>
  <pageSetup paperSize="9" scale="83" orientation="portrait" r:id="rId1"/>
  <rowBreaks count="2" manualBreakCount="2">
    <brk id="48" max="8" man="1"/>
    <brk id="101"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88D85B-DEA2-4D8C-96E4-893CF3944497}">
  <sheetPr>
    <tabColor theme="9" tint="0.59999389629810485"/>
  </sheetPr>
  <dimension ref="A1:AP140"/>
  <sheetViews>
    <sheetView showGridLines="0" topLeftCell="A81" zoomScale="120" zoomScaleNormal="120" zoomScaleSheetLayoutView="100" workbookViewId="0">
      <selection activeCell="J93" sqref="J93"/>
    </sheetView>
  </sheetViews>
  <sheetFormatPr defaultRowHeight="15" customHeight="1" x14ac:dyDescent="0.25"/>
  <cols>
    <col min="1" max="1" width="3.140625" style="8" customWidth="1"/>
    <col min="2" max="2" width="16.5703125" style="7" customWidth="1"/>
    <col min="3" max="3" width="17.85546875" style="7" customWidth="1"/>
    <col min="4" max="4" width="11.85546875" style="7" customWidth="1"/>
    <col min="5" max="5" width="12.85546875" style="7" bestFit="1" customWidth="1"/>
    <col min="6" max="6" width="12.140625" style="7" customWidth="1"/>
    <col min="7" max="7" width="14.42578125" style="7" bestFit="1" customWidth="1"/>
    <col min="8" max="9" width="14.42578125" style="7" customWidth="1"/>
    <col min="10" max="10" width="10.28515625" style="7" customWidth="1"/>
    <col min="11" max="11" width="14.140625" style="7" bestFit="1" customWidth="1"/>
    <col min="12" max="12" width="8.42578125" style="6" customWidth="1"/>
    <col min="13" max="13" width="23.7109375" style="6" customWidth="1"/>
    <col min="14" max="14" width="17.140625" style="6" customWidth="1"/>
    <col min="15" max="15" width="11.28515625" style="6" bestFit="1" customWidth="1"/>
    <col min="16" max="16" width="10.5703125" style="6" bestFit="1" customWidth="1"/>
    <col min="17" max="18" width="9.140625" style="6"/>
    <col min="19" max="19" width="10" style="6" bestFit="1" customWidth="1"/>
    <col min="20" max="16384" width="9.140625" style="6"/>
  </cols>
  <sheetData>
    <row r="1" spans="1:13" ht="15" customHeight="1" x14ac:dyDescent="0.25">
      <c r="A1" s="380" t="s">
        <v>0</v>
      </c>
      <c r="B1" s="380"/>
      <c r="C1" s="380"/>
      <c r="D1" s="380"/>
      <c r="E1" s="380"/>
      <c r="F1" s="380"/>
      <c r="G1" s="380"/>
      <c r="H1" s="380"/>
      <c r="I1" s="380"/>
      <c r="J1" s="380"/>
      <c r="K1" s="380"/>
      <c r="L1" s="11"/>
      <c r="M1" s="11"/>
    </row>
    <row r="2" spans="1:13" ht="15" customHeight="1" x14ac:dyDescent="0.25">
      <c r="A2" s="309"/>
      <c r="B2" s="309"/>
      <c r="C2" s="309"/>
      <c r="D2" s="309"/>
      <c r="E2" s="309"/>
      <c r="F2" s="309"/>
      <c r="G2" s="309"/>
      <c r="H2" s="309"/>
      <c r="I2" s="309"/>
      <c r="J2" s="309"/>
      <c r="K2" s="309"/>
      <c r="L2" s="11"/>
      <c r="M2" s="11"/>
    </row>
    <row r="3" spans="1:13" ht="15" customHeight="1" x14ac:dyDescent="0.25">
      <c r="A3" s="15"/>
      <c r="B3" s="16" t="s">
        <v>1</v>
      </c>
      <c r="C3" s="381"/>
      <c r="D3" s="381"/>
      <c r="E3" s="381"/>
      <c r="F3" s="381"/>
      <c r="G3" s="381"/>
      <c r="H3" s="381"/>
      <c r="I3" s="381"/>
      <c r="J3" s="381"/>
      <c r="K3" s="381"/>
      <c r="L3" s="11"/>
      <c r="M3" s="11"/>
    </row>
    <row r="4" spans="1:13" ht="15" customHeight="1" x14ac:dyDescent="0.25">
      <c r="A4" s="15"/>
      <c r="B4" s="17" t="s">
        <v>125</v>
      </c>
      <c r="C4" s="382"/>
      <c r="D4" s="382"/>
      <c r="E4" s="17"/>
      <c r="F4" s="17"/>
      <c r="G4" s="17"/>
      <c r="H4" s="17"/>
      <c r="I4" s="17"/>
      <c r="J4" s="17"/>
      <c r="K4" s="17"/>
      <c r="L4" s="11"/>
      <c r="M4" s="11"/>
    </row>
    <row r="5" spans="1:13" ht="15" customHeight="1" x14ac:dyDescent="0.25">
      <c r="A5" s="15"/>
      <c r="B5" s="16" t="s">
        <v>124</v>
      </c>
      <c r="C5" s="18"/>
      <c r="D5" s="17"/>
      <c r="E5" s="17"/>
      <c r="F5" s="17"/>
      <c r="G5" s="17"/>
      <c r="H5" s="17"/>
      <c r="I5" s="17"/>
      <c r="J5" s="17"/>
      <c r="K5" s="17"/>
      <c r="L5" s="11"/>
      <c r="M5" s="11"/>
    </row>
    <row r="6" spans="1:13" ht="4.5" customHeight="1" x14ac:dyDescent="0.25">
      <c r="A6" s="309"/>
      <c r="B6" s="309"/>
      <c r="C6" s="309"/>
      <c r="D6" s="309"/>
      <c r="E6" s="309"/>
      <c r="F6" s="309"/>
      <c r="G6" s="309"/>
      <c r="H6" s="309"/>
      <c r="I6" s="309"/>
      <c r="J6" s="309"/>
      <c r="K6" s="309"/>
      <c r="L6" s="11"/>
      <c r="M6" s="11"/>
    </row>
    <row r="7" spans="1:13" ht="15" customHeight="1" x14ac:dyDescent="0.25">
      <c r="A7" s="377" t="s">
        <v>123</v>
      </c>
      <c r="B7" s="377"/>
      <c r="C7" s="377"/>
      <c r="D7" s="377"/>
      <c r="E7" s="377"/>
      <c r="F7" s="377"/>
      <c r="G7" s="377"/>
      <c r="H7" s="377"/>
      <c r="I7" s="377"/>
      <c r="J7" s="377"/>
      <c r="K7" s="377"/>
      <c r="L7" s="11"/>
      <c r="M7" s="11"/>
    </row>
    <row r="8" spans="1:13" ht="15" customHeight="1" x14ac:dyDescent="0.25">
      <c r="A8" s="19" t="s">
        <v>2</v>
      </c>
      <c r="B8" s="371" t="s">
        <v>122</v>
      </c>
      <c r="C8" s="371"/>
      <c r="D8" s="371"/>
      <c r="E8" s="371"/>
      <c r="F8" s="371"/>
      <c r="G8" s="385"/>
      <c r="H8" s="385"/>
      <c r="I8" s="385"/>
      <c r="J8" s="383"/>
      <c r="K8" s="383"/>
      <c r="L8" s="11"/>
      <c r="M8" s="11"/>
    </row>
    <row r="9" spans="1:13" ht="15" customHeight="1" x14ac:dyDescent="0.25">
      <c r="A9" s="19" t="s">
        <v>3</v>
      </c>
      <c r="B9" s="371" t="s">
        <v>121</v>
      </c>
      <c r="C9" s="371"/>
      <c r="D9" s="371"/>
      <c r="E9" s="371"/>
      <c r="F9" s="371"/>
      <c r="G9" s="386" t="s">
        <v>120</v>
      </c>
      <c r="H9" s="387"/>
      <c r="I9" s="387"/>
      <c r="J9" s="387"/>
      <c r="K9" s="388"/>
      <c r="L9" s="11"/>
      <c r="M9" s="11"/>
    </row>
    <row r="10" spans="1:13" ht="15" customHeight="1" x14ac:dyDescent="0.25">
      <c r="A10" s="20" t="s">
        <v>4</v>
      </c>
      <c r="B10" s="389" t="s">
        <v>119</v>
      </c>
      <c r="C10" s="390"/>
      <c r="D10" s="390"/>
      <c r="E10" s="390"/>
      <c r="F10" s="390"/>
      <c r="G10" s="383" t="s">
        <v>165</v>
      </c>
      <c r="H10" s="383"/>
      <c r="I10" s="383"/>
      <c r="J10" s="383"/>
      <c r="K10" s="383"/>
      <c r="L10" s="11"/>
      <c r="M10" s="11"/>
    </row>
    <row r="11" spans="1:13" ht="15" customHeight="1" x14ac:dyDescent="0.25">
      <c r="A11" s="19" t="s">
        <v>5</v>
      </c>
      <c r="B11" s="21" t="s">
        <v>6</v>
      </c>
      <c r="C11" s="22"/>
      <c r="D11" s="22"/>
      <c r="E11" s="22"/>
      <c r="F11" s="22"/>
      <c r="G11" s="383">
        <v>30</v>
      </c>
      <c r="H11" s="383"/>
      <c r="I11" s="383"/>
      <c r="J11" s="383"/>
      <c r="K11" s="383"/>
      <c r="L11" s="11"/>
      <c r="M11" s="11"/>
    </row>
    <row r="12" spans="1:13" ht="15" customHeight="1" x14ac:dyDescent="0.25">
      <c r="A12" s="377" t="s">
        <v>7</v>
      </c>
      <c r="B12" s="377"/>
      <c r="C12" s="377"/>
      <c r="D12" s="377"/>
      <c r="E12" s="377"/>
      <c r="F12" s="377"/>
      <c r="G12" s="377"/>
      <c r="H12" s="377"/>
      <c r="I12" s="377"/>
      <c r="J12" s="377"/>
      <c r="K12" s="377"/>
      <c r="L12" s="11"/>
      <c r="M12" s="11"/>
    </row>
    <row r="13" spans="1:13" ht="15" customHeight="1" x14ac:dyDescent="0.25">
      <c r="A13" s="19">
        <v>1</v>
      </c>
      <c r="B13" s="371" t="s">
        <v>8</v>
      </c>
      <c r="C13" s="371"/>
      <c r="D13" s="371"/>
      <c r="E13" s="371"/>
      <c r="F13" s="371"/>
      <c r="G13" s="371"/>
      <c r="H13" s="225"/>
      <c r="I13" s="225"/>
      <c r="J13" s="383" t="s">
        <v>9</v>
      </c>
      <c r="K13" s="383"/>
      <c r="L13" s="11"/>
      <c r="M13" s="11"/>
    </row>
    <row r="14" spans="1:13" ht="15" customHeight="1" x14ac:dyDescent="0.25">
      <c r="A14" s="19">
        <v>2</v>
      </c>
      <c r="B14" s="371" t="s">
        <v>118</v>
      </c>
      <c r="C14" s="371"/>
      <c r="D14" s="371"/>
      <c r="E14" s="371"/>
      <c r="F14" s="371"/>
      <c r="G14" s="371"/>
      <c r="H14" s="225"/>
      <c r="I14" s="225"/>
      <c r="J14" s="384">
        <v>1</v>
      </c>
      <c r="K14" s="384"/>
      <c r="L14" s="11"/>
      <c r="M14" s="11"/>
    </row>
    <row r="15" spans="1:13" ht="15" customHeight="1" x14ac:dyDescent="0.25">
      <c r="A15" s="19">
        <v>3</v>
      </c>
      <c r="B15" s="21" t="s">
        <v>117</v>
      </c>
      <c r="C15" s="376" t="s">
        <v>178</v>
      </c>
      <c r="D15" s="376"/>
      <c r="E15" s="376"/>
      <c r="F15" s="376"/>
      <c r="G15" s="376"/>
      <c r="H15" s="376"/>
      <c r="I15" s="376"/>
      <c r="J15" s="376"/>
      <c r="K15" s="376"/>
      <c r="L15" s="11"/>
      <c r="M15" s="11"/>
    </row>
    <row r="16" spans="1:13" ht="15" customHeight="1" x14ac:dyDescent="0.25">
      <c r="A16" s="309"/>
      <c r="B16" s="309"/>
      <c r="C16" s="309"/>
      <c r="D16" s="309"/>
      <c r="E16" s="309"/>
      <c r="F16" s="309"/>
      <c r="G16" s="309"/>
      <c r="H16" s="309"/>
      <c r="I16" s="309"/>
      <c r="J16" s="309"/>
      <c r="K16" s="309"/>
      <c r="L16" s="11"/>
      <c r="M16" s="11"/>
    </row>
    <row r="17" spans="1:21" ht="15" customHeight="1" x14ac:dyDescent="0.25">
      <c r="A17" s="377" t="s">
        <v>116</v>
      </c>
      <c r="B17" s="377"/>
      <c r="C17" s="377"/>
      <c r="D17" s="377"/>
      <c r="E17" s="377"/>
      <c r="F17" s="377"/>
      <c r="G17" s="377"/>
      <c r="H17" s="377"/>
      <c r="I17" s="377"/>
      <c r="J17" s="377"/>
      <c r="K17" s="377"/>
      <c r="L17" s="11"/>
      <c r="M17" s="11"/>
    </row>
    <row r="18" spans="1:21" ht="15" customHeight="1" x14ac:dyDescent="0.25">
      <c r="A18" s="308" t="s">
        <v>115</v>
      </c>
      <c r="B18" s="308"/>
      <c r="C18" s="308"/>
      <c r="D18" s="308"/>
      <c r="E18" s="308"/>
      <c r="F18" s="308"/>
      <c r="G18" s="308"/>
      <c r="H18" s="308"/>
      <c r="I18" s="308"/>
      <c r="J18" s="308"/>
      <c r="K18" s="308"/>
      <c r="L18" s="11"/>
      <c r="M18" s="11"/>
    </row>
    <row r="19" spans="1:21" x14ac:dyDescent="0.25">
      <c r="A19" s="23">
        <v>1</v>
      </c>
      <c r="B19" s="352" t="s">
        <v>114</v>
      </c>
      <c r="C19" s="352"/>
      <c r="D19" s="352"/>
      <c r="E19" s="352"/>
      <c r="F19" s="352"/>
      <c r="G19" s="352"/>
      <c r="H19" s="221"/>
      <c r="I19" s="221"/>
      <c r="J19" s="374" t="s">
        <v>281</v>
      </c>
      <c r="K19" s="375"/>
      <c r="L19" s="11"/>
      <c r="M19" s="11"/>
    </row>
    <row r="20" spans="1:21" ht="15" customHeight="1" x14ac:dyDescent="0.25">
      <c r="A20" s="23">
        <v>2</v>
      </c>
      <c r="B20" s="352" t="s">
        <v>113</v>
      </c>
      <c r="C20" s="352"/>
      <c r="D20" s="352"/>
      <c r="E20" s="352"/>
      <c r="F20" s="352"/>
      <c r="G20" s="352"/>
      <c r="H20" s="221"/>
      <c r="I20" s="221"/>
      <c r="J20" s="391">
        <v>517330</v>
      </c>
      <c r="K20" s="392"/>
      <c r="L20" s="11"/>
    </row>
    <row r="21" spans="1:21" ht="15" customHeight="1" x14ac:dyDescent="0.25">
      <c r="A21" s="23">
        <v>3</v>
      </c>
      <c r="B21" s="352" t="s">
        <v>112</v>
      </c>
      <c r="C21" s="352"/>
      <c r="D21" s="352"/>
      <c r="E21" s="352"/>
      <c r="F21" s="352"/>
      <c r="G21" s="352"/>
      <c r="H21" s="221"/>
      <c r="I21" s="221"/>
      <c r="J21" s="393">
        <f>1829.2</f>
        <v>1829.2</v>
      </c>
      <c r="K21" s="394"/>
      <c r="L21" s="11"/>
      <c r="M21" s="193"/>
    </row>
    <row r="22" spans="1:21" x14ac:dyDescent="0.25">
      <c r="A22" s="23">
        <v>4</v>
      </c>
      <c r="B22" s="352" t="s">
        <v>111</v>
      </c>
      <c r="C22" s="352"/>
      <c r="D22" s="352"/>
      <c r="E22" s="352"/>
      <c r="F22" s="352"/>
      <c r="G22" s="352"/>
      <c r="H22" s="221"/>
      <c r="I22" s="221"/>
      <c r="J22" s="374"/>
      <c r="K22" s="375"/>
      <c r="L22" s="11"/>
      <c r="M22" s="11"/>
    </row>
    <row r="23" spans="1:21" ht="15" customHeight="1" x14ac:dyDescent="0.25">
      <c r="A23" s="23">
        <v>5</v>
      </c>
      <c r="B23" s="352" t="s">
        <v>110</v>
      </c>
      <c r="C23" s="352"/>
      <c r="D23" s="352"/>
      <c r="E23" s="352"/>
      <c r="F23" s="352"/>
      <c r="G23" s="352"/>
      <c r="H23" s="221"/>
      <c r="I23" s="221"/>
      <c r="J23" s="367">
        <v>45292</v>
      </c>
      <c r="K23" s="368"/>
      <c r="L23" s="11"/>
      <c r="M23" s="11"/>
    </row>
    <row r="24" spans="1:21" ht="15" customHeight="1" x14ac:dyDescent="0.25">
      <c r="A24" s="286" t="s">
        <v>109</v>
      </c>
      <c r="B24" s="287"/>
      <c r="C24" s="287"/>
      <c r="D24" s="287"/>
      <c r="E24" s="287"/>
      <c r="F24" s="287"/>
      <c r="G24" s="287"/>
      <c r="H24" s="287"/>
      <c r="I24" s="287"/>
      <c r="J24" s="287"/>
      <c r="K24" s="288"/>
      <c r="L24" s="11"/>
      <c r="M24" s="11"/>
    </row>
    <row r="25" spans="1:21" ht="15" customHeight="1" x14ac:dyDescent="0.25">
      <c r="A25" s="40">
        <v>1</v>
      </c>
      <c r="B25" s="307" t="s">
        <v>108</v>
      </c>
      <c r="C25" s="307"/>
      <c r="D25" s="307"/>
      <c r="E25" s="307"/>
      <c r="F25" s="307"/>
      <c r="G25" s="307"/>
      <c r="H25" s="218"/>
      <c r="I25" s="218"/>
      <c r="J25" s="369" t="s">
        <v>10</v>
      </c>
      <c r="K25" s="370"/>
      <c r="L25" s="11"/>
      <c r="M25" s="11"/>
    </row>
    <row r="26" spans="1:21" ht="15" customHeight="1" x14ac:dyDescent="0.25">
      <c r="A26" s="23" t="s">
        <v>2</v>
      </c>
      <c r="B26" s="371" t="s">
        <v>164</v>
      </c>
      <c r="C26" s="371"/>
      <c r="D26" s="371"/>
      <c r="E26" s="371"/>
      <c r="F26" s="371"/>
      <c r="G26" s="371"/>
      <c r="H26" s="226"/>
      <c r="I26" s="226"/>
      <c r="J26" s="372">
        <f>J21</f>
        <v>1829.2</v>
      </c>
      <c r="K26" s="373"/>
      <c r="L26" s="11"/>
      <c r="M26" s="11"/>
    </row>
    <row r="27" spans="1:21" ht="15" customHeight="1" x14ac:dyDescent="0.25">
      <c r="A27" s="24" t="s">
        <v>3</v>
      </c>
      <c r="B27" s="25" t="s">
        <v>107</v>
      </c>
      <c r="C27" s="26"/>
      <c r="D27" s="27" t="s">
        <v>105</v>
      </c>
      <c r="E27" s="27" t="s">
        <v>87</v>
      </c>
      <c r="F27" s="26"/>
      <c r="G27" s="28"/>
      <c r="H27" s="26"/>
      <c r="I27" s="26"/>
      <c r="J27" s="372">
        <f>IF(E27="N",0,J26*0.3)</f>
        <v>548.76</v>
      </c>
      <c r="K27" s="373"/>
      <c r="L27" s="11"/>
      <c r="M27" s="11"/>
    </row>
    <row r="28" spans="1:21" ht="15" customHeight="1" x14ac:dyDescent="0.25">
      <c r="A28" s="24" t="s">
        <v>4</v>
      </c>
      <c r="B28" s="25" t="s">
        <v>106</v>
      </c>
      <c r="C28" s="26"/>
      <c r="D28" s="27" t="s">
        <v>105</v>
      </c>
      <c r="E28" s="27" t="s">
        <v>104</v>
      </c>
      <c r="F28" s="378"/>
      <c r="G28" s="379"/>
      <c r="H28" s="227"/>
      <c r="I28" s="227"/>
      <c r="J28" s="358">
        <v>0</v>
      </c>
      <c r="K28" s="359"/>
      <c r="L28" s="11"/>
      <c r="M28" s="11"/>
      <c r="P28" s="54"/>
    </row>
    <row r="29" spans="1:21" ht="15" customHeight="1" x14ac:dyDescent="0.25">
      <c r="A29" s="24" t="s">
        <v>5</v>
      </c>
      <c r="B29" s="25" t="s">
        <v>305</v>
      </c>
      <c r="C29" s="26"/>
      <c r="D29" s="198"/>
      <c r="E29" s="198"/>
      <c r="F29" s="227"/>
      <c r="G29" s="197"/>
      <c r="H29" s="227"/>
      <c r="I29" s="227"/>
      <c r="J29" s="358">
        <v>0</v>
      </c>
      <c r="K29" s="359"/>
      <c r="L29" s="11"/>
      <c r="M29" s="11"/>
      <c r="P29" s="54"/>
    </row>
    <row r="30" spans="1:21" ht="15" customHeight="1" x14ac:dyDescent="0.25">
      <c r="A30" s="23" t="s">
        <v>11</v>
      </c>
      <c r="B30" s="361" t="s">
        <v>102</v>
      </c>
      <c r="C30" s="362"/>
      <c r="D30" s="362"/>
      <c r="E30" s="362"/>
      <c r="F30" s="362"/>
      <c r="G30" s="363"/>
      <c r="H30" s="195"/>
      <c r="I30" s="195"/>
      <c r="J30" s="358">
        <v>0</v>
      </c>
      <c r="K30" s="359"/>
      <c r="L30" s="11"/>
      <c r="M30" s="11"/>
    </row>
    <row r="31" spans="1:21" ht="15" customHeight="1" x14ac:dyDescent="0.25">
      <c r="A31" s="19" t="s">
        <v>12</v>
      </c>
      <c r="B31" s="366" t="s">
        <v>101</v>
      </c>
      <c r="C31" s="366"/>
      <c r="D31" s="366"/>
      <c r="E31" s="366"/>
      <c r="F31" s="366"/>
      <c r="G31" s="366"/>
      <c r="H31" s="194"/>
      <c r="I31" s="194"/>
      <c r="J31" s="358">
        <v>0</v>
      </c>
      <c r="K31" s="359"/>
      <c r="L31" s="11"/>
      <c r="M31" s="11"/>
    </row>
    <row r="32" spans="1:21" ht="15" customHeight="1" x14ac:dyDescent="0.25">
      <c r="A32" s="107" t="s">
        <v>23</v>
      </c>
      <c r="B32" s="355" t="s">
        <v>175</v>
      </c>
      <c r="C32" s="356"/>
      <c r="D32" s="356"/>
      <c r="E32" s="356"/>
      <c r="F32" s="356"/>
      <c r="G32" s="357"/>
      <c r="H32" s="224"/>
      <c r="I32" s="224"/>
      <c r="J32" s="358">
        <v>0</v>
      </c>
      <c r="K32" s="359"/>
      <c r="M32" s="360"/>
      <c r="N32" s="360"/>
      <c r="O32" s="360"/>
      <c r="P32" s="360"/>
      <c r="Q32" s="360"/>
      <c r="R32" s="360"/>
      <c r="S32" s="360"/>
      <c r="T32" s="360"/>
      <c r="U32" s="360"/>
    </row>
    <row r="33" spans="1:19" ht="15" customHeight="1" x14ac:dyDescent="0.25">
      <c r="A33" s="19" t="s">
        <v>24</v>
      </c>
      <c r="B33" s="361" t="s">
        <v>330</v>
      </c>
      <c r="C33" s="362"/>
      <c r="D33" s="362"/>
      <c r="E33" s="362"/>
      <c r="F33" s="362"/>
      <c r="G33" s="363"/>
      <c r="H33" s="195"/>
      <c r="I33" s="195"/>
      <c r="J33" s="364"/>
      <c r="K33" s="365"/>
      <c r="L33" s="11"/>
      <c r="M33" s="320"/>
      <c r="N33" s="320"/>
      <c r="O33" s="320"/>
      <c r="P33" s="320"/>
      <c r="Q33" s="320"/>
    </row>
    <row r="34" spans="1:19" ht="15" customHeight="1" x14ac:dyDescent="0.25">
      <c r="A34" s="308" t="s">
        <v>99</v>
      </c>
      <c r="B34" s="308"/>
      <c r="C34" s="308"/>
      <c r="D34" s="308"/>
      <c r="E34" s="308"/>
      <c r="F34" s="308"/>
      <c r="G34" s="308"/>
      <c r="H34" s="217"/>
      <c r="I34" s="217"/>
      <c r="J34" s="353">
        <f>SUM(J26:K33)</f>
        <v>2377.96</v>
      </c>
      <c r="K34" s="354"/>
      <c r="L34" s="11"/>
      <c r="M34" s="11"/>
    </row>
    <row r="35" spans="1:19" ht="15" customHeight="1" x14ac:dyDescent="0.25">
      <c r="A35" s="286" t="s">
        <v>98</v>
      </c>
      <c r="B35" s="287"/>
      <c r="C35" s="287"/>
      <c r="D35" s="287"/>
      <c r="E35" s="287"/>
      <c r="F35" s="287"/>
      <c r="G35" s="287"/>
      <c r="H35" s="287"/>
      <c r="I35" s="287"/>
      <c r="J35" s="287"/>
      <c r="K35" s="288"/>
      <c r="L35" s="11"/>
      <c r="M35" s="11"/>
      <c r="S35" s="52"/>
    </row>
    <row r="36" spans="1:19" ht="15" customHeight="1" x14ac:dyDescent="0.25">
      <c r="A36" s="307" t="s">
        <v>162</v>
      </c>
      <c r="B36" s="307"/>
      <c r="C36" s="307"/>
      <c r="D36" s="307"/>
      <c r="E36" s="307"/>
      <c r="F36" s="307"/>
      <c r="G36" s="307"/>
      <c r="H36" s="307"/>
      <c r="I36" s="307"/>
      <c r="J36" s="307"/>
      <c r="K36" s="307"/>
      <c r="L36" s="11"/>
      <c r="M36" s="11"/>
      <c r="N36" s="58"/>
    </row>
    <row r="37" spans="1:19" ht="15" customHeight="1" x14ac:dyDescent="0.25">
      <c r="A37" s="40" t="s">
        <v>85</v>
      </c>
      <c r="B37" s="321" t="s">
        <v>163</v>
      </c>
      <c r="C37" s="322"/>
      <c r="D37" s="322"/>
      <c r="E37" s="322"/>
      <c r="F37" s="322"/>
      <c r="G37" s="323"/>
      <c r="H37" s="219"/>
      <c r="I37" s="219"/>
      <c r="J37" s="40" t="s">
        <v>64</v>
      </c>
      <c r="K37" s="43" t="s">
        <v>10</v>
      </c>
      <c r="L37" s="11"/>
      <c r="M37" s="11"/>
      <c r="P37" s="56"/>
    </row>
    <row r="38" spans="1:19" ht="15" customHeight="1" x14ac:dyDescent="0.25">
      <c r="A38" s="23" t="s">
        <v>2</v>
      </c>
      <c r="B38" s="324" t="s">
        <v>97</v>
      </c>
      <c r="C38" s="325"/>
      <c r="D38" s="325"/>
      <c r="E38" s="325"/>
      <c r="F38" s="325"/>
      <c r="G38" s="326"/>
      <c r="H38" s="222"/>
      <c r="I38" s="222"/>
      <c r="J38" s="61">
        <v>8.3299999999999999E-2</v>
      </c>
      <c r="K38" s="30">
        <f>(J26+J27+J30)*J38</f>
        <v>198.084068</v>
      </c>
      <c r="L38" s="11"/>
      <c r="M38" s="12"/>
      <c r="N38" s="57"/>
      <c r="O38" s="57"/>
      <c r="P38" s="56"/>
      <c r="Q38" s="9"/>
    </row>
    <row r="39" spans="1:19" ht="15" customHeight="1" x14ac:dyDescent="0.25">
      <c r="A39" s="23" t="s">
        <v>3</v>
      </c>
      <c r="B39" s="324" t="s">
        <v>161</v>
      </c>
      <c r="C39" s="325"/>
      <c r="D39" s="325"/>
      <c r="E39" s="325"/>
      <c r="F39" s="325"/>
      <c r="G39" s="326"/>
      <c r="H39" s="222"/>
      <c r="I39" s="222"/>
      <c r="J39" s="61">
        <v>0.121</v>
      </c>
      <c r="K39" s="30">
        <f>(J26+J27+J30)*J39</f>
        <v>287.73316</v>
      </c>
      <c r="L39" s="11"/>
      <c r="M39" s="12"/>
      <c r="N39" s="57"/>
      <c r="O39" s="57"/>
      <c r="P39" s="56"/>
      <c r="Q39" s="9"/>
    </row>
    <row r="40" spans="1:19" ht="15" customHeight="1" x14ac:dyDescent="0.25">
      <c r="A40" s="60" t="s">
        <v>68</v>
      </c>
      <c r="B40" s="59"/>
      <c r="C40" s="59"/>
      <c r="D40" s="59"/>
      <c r="E40" s="59"/>
      <c r="F40" s="59"/>
      <c r="G40" s="59"/>
      <c r="H40" s="59"/>
      <c r="I40" s="59"/>
      <c r="J40" s="66">
        <f>SUM(J38:J39)</f>
        <v>0.20429999999999998</v>
      </c>
      <c r="K40" s="65">
        <f>SUM(K38:K39)</f>
        <v>485.817228</v>
      </c>
      <c r="L40" s="11"/>
      <c r="M40" s="11"/>
      <c r="N40" s="52"/>
      <c r="P40" s="52"/>
    </row>
    <row r="41" spans="1:19" ht="15" customHeight="1" x14ac:dyDescent="0.25">
      <c r="A41" s="307" t="s">
        <v>96</v>
      </c>
      <c r="B41" s="307"/>
      <c r="C41" s="307"/>
      <c r="D41" s="307"/>
      <c r="E41" s="307"/>
      <c r="F41" s="307"/>
      <c r="G41" s="307"/>
      <c r="H41" s="307"/>
      <c r="I41" s="307"/>
      <c r="J41" s="307"/>
      <c r="K41" s="307"/>
      <c r="L41" s="11"/>
      <c r="M41" s="11"/>
    </row>
    <row r="42" spans="1:19" ht="15" customHeight="1" x14ac:dyDescent="0.25">
      <c r="A42" s="40" t="s">
        <v>83</v>
      </c>
      <c r="B42" s="307" t="s">
        <v>82</v>
      </c>
      <c r="C42" s="307"/>
      <c r="D42" s="307"/>
      <c r="E42" s="307"/>
      <c r="F42" s="307"/>
      <c r="G42" s="307"/>
      <c r="H42" s="215"/>
      <c r="I42" s="215"/>
      <c r="J42" s="40" t="s">
        <v>64</v>
      </c>
      <c r="K42" s="43" t="s">
        <v>10</v>
      </c>
      <c r="L42" s="11"/>
      <c r="M42" s="11"/>
      <c r="P42" s="52"/>
    </row>
    <row r="43" spans="1:19" ht="15" customHeight="1" x14ac:dyDescent="0.25">
      <c r="A43" s="23" t="s">
        <v>2</v>
      </c>
      <c r="B43" s="352" t="s">
        <v>18</v>
      </c>
      <c r="C43" s="352"/>
      <c r="D43" s="352"/>
      <c r="E43" s="352"/>
      <c r="F43" s="352"/>
      <c r="G43" s="352"/>
      <c r="H43" s="223"/>
      <c r="I43" s="223"/>
      <c r="J43" s="31">
        <v>0.2</v>
      </c>
      <c r="K43" s="32">
        <f>((J26+J27+J30)+$K$40)*J43</f>
        <v>572.75544560000003</v>
      </c>
      <c r="L43" s="11"/>
      <c r="M43" s="11"/>
      <c r="R43" s="54"/>
    </row>
    <row r="44" spans="1:19" ht="15" customHeight="1" x14ac:dyDescent="0.25">
      <c r="A44" s="23" t="s">
        <v>3</v>
      </c>
      <c r="B44" s="352" t="s">
        <v>21</v>
      </c>
      <c r="C44" s="352"/>
      <c r="D44" s="352"/>
      <c r="E44" s="352"/>
      <c r="F44" s="352"/>
      <c r="G44" s="352"/>
      <c r="H44" s="223"/>
      <c r="I44" s="223"/>
      <c r="J44" s="31">
        <v>2.5000000000000001E-2</v>
      </c>
      <c r="K44" s="32">
        <f>((J26+J27+J30)+$K$40)*J44</f>
        <v>71.594430700000004</v>
      </c>
      <c r="L44" s="11"/>
      <c r="M44" s="11"/>
      <c r="Q44" s="52"/>
    </row>
    <row r="45" spans="1:19" ht="15" customHeight="1" x14ac:dyDescent="0.25">
      <c r="A45" s="33" t="s">
        <v>4</v>
      </c>
      <c r="B45" s="352" t="s">
        <v>126</v>
      </c>
      <c r="C45" s="352"/>
      <c r="D45" s="352"/>
      <c r="E45" s="352"/>
      <c r="F45" s="352"/>
      <c r="G45" s="352"/>
      <c r="H45" s="222"/>
      <c r="I45" s="222"/>
      <c r="J45" s="49">
        <v>0.03</v>
      </c>
      <c r="K45" s="32">
        <f>((J26+J27+J30)+$K$40)*J45</f>
        <v>85.913316839999993</v>
      </c>
      <c r="L45" s="11"/>
      <c r="M45" s="11"/>
      <c r="N45" s="203"/>
    </row>
    <row r="46" spans="1:19" ht="15" customHeight="1" x14ac:dyDescent="0.25">
      <c r="A46" s="33" t="s">
        <v>5</v>
      </c>
      <c r="B46" s="352" t="s">
        <v>95</v>
      </c>
      <c r="C46" s="352"/>
      <c r="D46" s="352"/>
      <c r="E46" s="352"/>
      <c r="F46" s="352"/>
      <c r="G46" s="352"/>
      <c r="H46" s="223"/>
      <c r="I46" s="223"/>
      <c r="J46" s="31">
        <v>1.4999999999999999E-2</v>
      </c>
      <c r="K46" s="32">
        <f>((J26+J27+J30)+$K$40)*J46</f>
        <v>42.956658419999997</v>
      </c>
      <c r="L46" s="11"/>
      <c r="M46" s="11"/>
      <c r="N46" s="202"/>
    </row>
    <row r="47" spans="1:19" ht="15" customHeight="1" x14ac:dyDescent="0.25">
      <c r="A47" s="23" t="s">
        <v>11</v>
      </c>
      <c r="B47" s="352" t="s">
        <v>19</v>
      </c>
      <c r="C47" s="352"/>
      <c r="D47" s="352"/>
      <c r="E47" s="352"/>
      <c r="F47" s="352"/>
      <c r="G47" s="352"/>
      <c r="H47" s="228"/>
      <c r="I47" s="228"/>
      <c r="J47" s="50">
        <v>0.01</v>
      </c>
      <c r="K47" s="32">
        <f>((J26+J27+J30)+$K$40)*J47</f>
        <v>28.63777228</v>
      </c>
      <c r="L47" s="11"/>
      <c r="M47" s="11"/>
    </row>
    <row r="48" spans="1:19" ht="15" customHeight="1" x14ac:dyDescent="0.25">
      <c r="A48" s="23" t="s">
        <v>12</v>
      </c>
      <c r="B48" s="352" t="s">
        <v>25</v>
      </c>
      <c r="C48" s="352"/>
      <c r="D48" s="352"/>
      <c r="E48" s="352"/>
      <c r="F48" s="352"/>
      <c r="G48" s="352"/>
      <c r="H48" s="223"/>
      <c r="I48" s="223"/>
      <c r="J48" s="31">
        <v>6.0000000000000001E-3</v>
      </c>
      <c r="K48" s="32">
        <f>((J26+J27+J30)+$K$40)*J48</f>
        <v>17.182663368</v>
      </c>
      <c r="L48" s="11"/>
      <c r="M48" s="11"/>
    </row>
    <row r="49" spans="1:17" ht="15" customHeight="1" x14ac:dyDescent="0.25">
      <c r="A49" s="23" t="s">
        <v>23</v>
      </c>
      <c r="B49" s="352" t="s">
        <v>20</v>
      </c>
      <c r="C49" s="352"/>
      <c r="D49" s="352"/>
      <c r="E49" s="352"/>
      <c r="F49" s="352"/>
      <c r="G49" s="352"/>
      <c r="H49" s="223"/>
      <c r="I49" s="223"/>
      <c r="J49" s="31">
        <v>2E-3</v>
      </c>
      <c r="K49" s="32">
        <f>((J26+J27+J30)+$K$40)*J49</f>
        <v>5.727554456</v>
      </c>
      <c r="L49" s="11"/>
      <c r="M49" s="11"/>
    </row>
    <row r="50" spans="1:17" ht="15" customHeight="1" x14ac:dyDescent="0.25">
      <c r="A50" s="23" t="s">
        <v>24</v>
      </c>
      <c r="B50" s="352" t="s">
        <v>22</v>
      </c>
      <c r="C50" s="352"/>
      <c r="D50" s="352"/>
      <c r="E50" s="352"/>
      <c r="F50" s="352"/>
      <c r="G50" s="352"/>
      <c r="H50" s="228"/>
      <c r="I50" s="228"/>
      <c r="J50" s="50">
        <v>0.08</v>
      </c>
      <c r="K50" s="32">
        <f>((J26+J27+J30)+$K$40)*J50</f>
        <v>229.10217824</v>
      </c>
      <c r="L50" s="11"/>
      <c r="M50" s="11"/>
    </row>
    <row r="51" spans="1:17" ht="15" customHeight="1" x14ac:dyDescent="0.25">
      <c r="A51" s="308" t="s">
        <v>37</v>
      </c>
      <c r="B51" s="308"/>
      <c r="C51" s="308"/>
      <c r="D51" s="308"/>
      <c r="E51" s="308"/>
      <c r="F51" s="308"/>
      <c r="G51" s="308"/>
      <c r="H51" s="40"/>
      <c r="I51" s="40"/>
      <c r="J51" s="45">
        <f>SUM(J43:J50)</f>
        <v>0.36800000000000005</v>
      </c>
      <c r="K51" s="44">
        <f>SUM(K43:K50)</f>
        <v>1053.8700199040002</v>
      </c>
      <c r="L51" s="11"/>
      <c r="M51" s="11"/>
    </row>
    <row r="52" spans="1:17" ht="15" customHeight="1" x14ac:dyDescent="0.25">
      <c r="A52" s="317" t="s">
        <v>94</v>
      </c>
      <c r="B52" s="318"/>
      <c r="C52" s="318"/>
      <c r="D52" s="318"/>
      <c r="E52" s="318"/>
      <c r="F52" s="318"/>
      <c r="G52" s="318"/>
      <c r="H52" s="318"/>
      <c r="I52" s="318"/>
      <c r="J52" s="318"/>
      <c r="K52" s="319"/>
      <c r="L52" s="11"/>
    </row>
    <row r="53" spans="1:17" ht="15" customHeight="1" x14ac:dyDescent="0.25">
      <c r="A53" s="40" t="s">
        <v>81</v>
      </c>
      <c r="B53" s="307" t="s">
        <v>80</v>
      </c>
      <c r="C53" s="307"/>
      <c r="D53" s="307"/>
      <c r="E53" s="307"/>
      <c r="F53" s="307"/>
      <c r="G53" s="307"/>
      <c r="H53" s="215"/>
      <c r="I53" s="215"/>
      <c r="J53" s="308" t="s">
        <v>10</v>
      </c>
      <c r="K53" s="308"/>
      <c r="L53" s="11"/>
      <c r="M53" s="347" t="s">
        <v>177</v>
      </c>
      <c r="N53" s="347"/>
    </row>
    <row r="54" spans="1:17" ht="15" customHeight="1" x14ac:dyDescent="0.25">
      <c r="A54" s="336" t="s">
        <v>2</v>
      </c>
      <c r="B54" s="336" t="s">
        <v>93</v>
      </c>
      <c r="C54" s="23" t="s">
        <v>91</v>
      </c>
      <c r="D54" s="23" t="s">
        <v>176</v>
      </c>
      <c r="E54" s="23" t="s">
        <v>92</v>
      </c>
      <c r="F54" s="23" t="s">
        <v>89</v>
      </c>
      <c r="G54" s="23" t="s">
        <v>88</v>
      </c>
      <c r="H54" s="229"/>
      <c r="I54" s="229"/>
      <c r="J54" s="348">
        <f>D55*E55*F55</f>
        <v>256.5</v>
      </c>
      <c r="K54" s="349"/>
      <c r="L54" s="11"/>
      <c r="M54" s="346" t="s">
        <v>157</v>
      </c>
      <c r="N54" s="346"/>
    </row>
    <row r="55" spans="1:17" ht="15" customHeight="1" x14ac:dyDescent="0.25">
      <c r="A55" s="337"/>
      <c r="B55" s="337"/>
      <c r="C55" s="23" t="s">
        <v>87</v>
      </c>
      <c r="D55" s="29">
        <v>8.5500000000000007</v>
      </c>
      <c r="E55" s="23">
        <v>2</v>
      </c>
      <c r="F55" s="23">
        <v>15</v>
      </c>
      <c r="G55" s="29">
        <f>J26*0.06</f>
        <v>109.752</v>
      </c>
      <c r="H55" s="230"/>
      <c r="I55" s="230"/>
      <c r="J55" s="350">
        <f>D55*E55*F55-G55</f>
        <v>146.74799999999999</v>
      </c>
      <c r="K55" s="351"/>
      <c r="L55" s="11"/>
      <c r="M55" s="346" t="s">
        <v>158</v>
      </c>
      <c r="N55" s="346"/>
    </row>
    <row r="56" spans="1:17" ht="15" customHeight="1" x14ac:dyDescent="0.25">
      <c r="A56" s="336" t="s">
        <v>3</v>
      </c>
      <c r="B56" s="338" t="s">
        <v>156</v>
      </c>
      <c r="C56" s="339"/>
      <c r="D56" s="23" t="s">
        <v>91</v>
      </c>
      <c r="E56" s="23" t="s">
        <v>90</v>
      </c>
      <c r="F56" s="23" t="s">
        <v>89</v>
      </c>
      <c r="G56" s="23" t="s">
        <v>88</v>
      </c>
      <c r="H56" s="229"/>
      <c r="I56" s="229"/>
      <c r="J56" s="342">
        <f>IF(D57="N",0,(E57*F57)-G57)</f>
        <v>432.95999999999992</v>
      </c>
      <c r="K56" s="343"/>
      <c r="L56" s="11"/>
      <c r="M56" s="346" t="s">
        <v>159</v>
      </c>
      <c r="N56" s="346"/>
      <c r="Q56" s="52"/>
    </row>
    <row r="57" spans="1:17" ht="15" customHeight="1" x14ac:dyDescent="0.25">
      <c r="A57" s="337"/>
      <c r="B57" s="340"/>
      <c r="C57" s="341"/>
      <c r="D57" s="23" t="s">
        <v>87</v>
      </c>
      <c r="E57" s="29">
        <v>36.08</v>
      </c>
      <c r="F57" s="23">
        <v>15</v>
      </c>
      <c r="G57" s="29">
        <f>E57*F57*0.2</f>
        <v>108.24</v>
      </c>
      <c r="H57" s="230"/>
      <c r="I57" s="230"/>
      <c r="J57" s="344"/>
      <c r="K57" s="345"/>
      <c r="L57" s="11"/>
      <c r="M57" s="346" t="s">
        <v>160</v>
      </c>
      <c r="N57" s="346"/>
      <c r="Q57" s="52"/>
    </row>
    <row r="58" spans="1:17" ht="15" customHeight="1" x14ac:dyDescent="0.25">
      <c r="A58" s="51" t="s">
        <v>4</v>
      </c>
      <c r="B58" s="331" t="s">
        <v>155</v>
      </c>
      <c r="C58" s="333"/>
      <c r="D58" s="23" t="s">
        <v>87</v>
      </c>
      <c r="E58" s="29">
        <v>16.73</v>
      </c>
      <c r="F58" s="23">
        <v>1</v>
      </c>
      <c r="G58" s="29">
        <f>E58*F58*0.2</f>
        <v>3.3460000000000001</v>
      </c>
      <c r="H58" s="231"/>
      <c r="I58" s="231"/>
      <c r="J58" s="334">
        <f>IF(D58="N",0,(E58*F58)-G58)</f>
        <v>13.384</v>
      </c>
      <c r="K58" s="335"/>
      <c r="L58" s="11"/>
      <c r="M58" s="11"/>
      <c r="Q58" s="52"/>
    </row>
    <row r="59" spans="1:17" ht="15" customHeight="1" x14ac:dyDescent="0.25">
      <c r="A59" s="51" t="s">
        <v>5</v>
      </c>
      <c r="B59" s="331" t="s">
        <v>144</v>
      </c>
      <c r="C59" s="332"/>
      <c r="D59" s="332"/>
      <c r="E59" s="332"/>
      <c r="F59" s="332"/>
      <c r="G59" s="333"/>
      <c r="H59" s="91"/>
      <c r="I59" s="91"/>
      <c r="J59" s="334"/>
      <c r="K59" s="335"/>
      <c r="L59" s="11"/>
      <c r="M59" s="11"/>
      <c r="Q59" s="52"/>
    </row>
    <row r="60" spans="1:17" ht="15" customHeight="1" x14ac:dyDescent="0.25">
      <c r="A60" s="51" t="s">
        <v>11</v>
      </c>
      <c r="B60" s="331" t="s">
        <v>166</v>
      </c>
      <c r="C60" s="332"/>
      <c r="D60" s="332"/>
      <c r="E60" s="332"/>
      <c r="F60" s="332"/>
      <c r="G60" s="333"/>
      <c r="H60" s="91"/>
      <c r="I60" s="91"/>
      <c r="J60" s="334"/>
      <c r="K60" s="335"/>
      <c r="L60" s="11"/>
      <c r="M60" s="11"/>
      <c r="Q60" s="52"/>
    </row>
    <row r="61" spans="1:17" ht="15" customHeight="1" x14ac:dyDescent="0.25">
      <c r="A61" s="51" t="s">
        <v>12</v>
      </c>
      <c r="B61" s="90" t="s">
        <v>167</v>
      </c>
      <c r="C61" s="91"/>
      <c r="D61" s="91"/>
      <c r="E61" s="91"/>
      <c r="F61" s="91"/>
      <c r="G61" s="92"/>
      <c r="H61" s="91"/>
      <c r="I61" s="91"/>
      <c r="J61" s="103"/>
      <c r="K61" s="104"/>
      <c r="L61" s="11"/>
      <c r="M61" s="11"/>
      <c r="Q61" s="52"/>
    </row>
    <row r="62" spans="1:17" ht="15" customHeight="1" x14ac:dyDescent="0.25">
      <c r="A62" s="51" t="s">
        <v>23</v>
      </c>
      <c r="B62" s="90" t="s">
        <v>168</v>
      </c>
      <c r="C62" s="91"/>
      <c r="D62" s="91"/>
      <c r="E62" s="91"/>
      <c r="F62" s="91"/>
      <c r="G62" s="92"/>
      <c r="H62" s="91"/>
      <c r="I62" s="91"/>
      <c r="J62" s="334">
        <v>29.66</v>
      </c>
      <c r="K62" s="335"/>
      <c r="L62" s="11"/>
      <c r="M62" s="11"/>
      <c r="Q62" s="52"/>
    </row>
    <row r="63" spans="1:17" ht="15" customHeight="1" x14ac:dyDescent="0.25">
      <c r="A63" s="308" t="s">
        <v>68</v>
      </c>
      <c r="B63" s="308"/>
      <c r="C63" s="308"/>
      <c r="D63" s="308"/>
      <c r="E63" s="308"/>
      <c r="F63" s="308"/>
      <c r="G63" s="308"/>
      <c r="H63" s="40"/>
      <c r="I63" s="40"/>
      <c r="J63" s="328">
        <f>SUM(J55:K62)</f>
        <v>622.75199999999984</v>
      </c>
      <c r="K63" s="328"/>
      <c r="L63" s="11"/>
      <c r="M63" s="11"/>
    </row>
    <row r="64" spans="1:17" ht="15" customHeight="1" x14ac:dyDescent="0.25">
      <c r="A64" s="309"/>
      <c r="B64" s="309"/>
      <c r="C64" s="309"/>
      <c r="D64" s="309"/>
      <c r="E64" s="309"/>
      <c r="F64" s="309"/>
      <c r="G64" s="309"/>
      <c r="H64" s="309"/>
      <c r="I64" s="309"/>
      <c r="J64" s="309"/>
      <c r="K64" s="309"/>
      <c r="L64" s="11"/>
      <c r="M64" s="11"/>
    </row>
    <row r="65" spans="1:29" ht="15" customHeight="1" x14ac:dyDescent="0.25">
      <c r="A65" s="310" t="s">
        <v>86</v>
      </c>
      <c r="B65" s="310"/>
      <c r="C65" s="310"/>
      <c r="D65" s="310"/>
      <c r="E65" s="310"/>
      <c r="F65" s="310"/>
      <c r="G65" s="310"/>
      <c r="H65" s="310"/>
      <c r="I65" s="310"/>
      <c r="J65" s="310"/>
      <c r="K65" s="310"/>
      <c r="L65" s="11"/>
      <c r="M65" s="11"/>
      <c r="P65" s="53"/>
    </row>
    <row r="66" spans="1:29" ht="15" customHeight="1" x14ac:dyDescent="0.25">
      <c r="A66" s="311"/>
      <c r="B66" s="311"/>
      <c r="C66" s="311"/>
      <c r="D66" s="311"/>
      <c r="E66" s="311"/>
      <c r="F66" s="311"/>
      <c r="G66" s="311"/>
      <c r="H66" s="311"/>
      <c r="I66" s="311"/>
      <c r="J66" s="311"/>
      <c r="K66" s="311"/>
      <c r="L66" s="11"/>
      <c r="M66" s="11"/>
      <c r="P66" s="52"/>
    </row>
    <row r="67" spans="1:29" ht="15" customHeight="1" x14ac:dyDescent="0.25">
      <c r="A67" s="39">
        <v>2</v>
      </c>
      <c r="B67" s="296" t="s">
        <v>70</v>
      </c>
      <c r="C67" s="296"/>
      <c r="D67" s="296"/>
      <c r="E67" s="296"/>
      <c r="F67" s="296"/>
      <c r="G67" s="296"/>
      <c r="H67" s="211"/>
      <c r="I67" s="211"/>
      <c r="J67" s="278" t="s">
        <v>10</v>
      </c>
      <c r="K67" s="278"/>
      <c r="L67" s="11"/>
      <c r="M67" s="11"/>
    </row>
    <row r="68" spans="1:29" ht="15" customHeight="1" x14ac:dyDescent="0.25">
      <c r="A68" s="24" t="s">
        <v>85</v>
      </c>
      <c r="B68" s="276" t="s">
        <v>84</v>
      </c>
      <c r="C68" s="276"/>
      <c r="D68" s="276"/>
      <c r="E68" s="276"/>
      <c r="F68" s="276"/>
      <c r="G68" s="276"/>
      <c r="H68" s="210"/>
      <c r="I68" s="210"/>
      <c r="J68" s="277">
        <f>K40</f>
        <v>485.817228</v>
      </c>
      <c r="K68" s="277"/>
      <c r="L68" s="11"/>
      <c r="M68" s="14"/>
      <c r="N68" s="10"/>
      <c r="O68" s="10"/>
      <c r="P68" s="10"/>
      <c r="Q68" s="10"/>
    </row>
    <row r="69" spans="1:29" ht="15" customHeight="1" x14ac:dyDescent="0.25">
      <c r="A69" s="24" t="s">
        <v>83</v>
      </c>
      <c r="B69" s="276" t="s">
        <v>82</v>
      </c>
      <c r="C69" s="276"/>
      <c r="D69" s="276"/>
      <c r="E69" s="276"/>
      <c r="F69" s="276"/>
      <c r="G69" s="276"/>
      <c r="H69" s="210"/>
      <c r="I69" s="210"/>
      <c r="J69" s="277">
        <f>K51</f>
        <v>1053.8700199040002</v>
      </c>
      <c r="K69" s="277"/>
      <c r="L69" s="11"/>
      <c r="M69" s="11"/>
    </row>
    <row r="70" spans="1:29" ht="15" customHeight="1" x14ac:dyDescent="0.25">
      <c r="A70" s="24" t="s">
        <v>81</v>
      </c>
      <c r="B70" s="276" t="s">
        <v>80</v>
      </c>
      <c r="C70" s="276"/>
      <c r="D70" s="276"/>
      <c r="E70" s="276"/>
      <c r="F70" s="276"/>
      <c r="G70" s="276"/>
      <c r="H70" s="210"/>
      <c r="I70" s="210"/>
      <c r="J70" s="277">
        <f>J63</f>
        <v>622.75199999999984</v>
      </c>
      <c r="K70" s="277"/>
      <c r="L70" s="11"/>
      <c r="M70" s="11"/>
    </row>
    <row r="71" spans="1:29" ht="15" customHeight="1" x14ac:dyDescent="0.25">
      <c r="A71" s="308" t="s">
        <v>68</v>
      </c>
      <c r="B71" s="308"/>
      <c r="C71" s="308"/>
      <c r="D71" s="308"/>
      <c r="E71" s="308"/>
      <c r="F71" s="308"/>
      <c r="G71" s="308"/>
      <c r="H71" s="40"/>
      <c r="I71" s="40"/>
      <c r="J71" s="328">
        <f>SUM(J68:K70)</f>
        <v>2162.4392479040002</v>
      </c>
      <c r="K71" s="328"/>
      <c r="L71" s="11"/>
      <c r="M71" s="11"/>
    </row>
    <row r="72" spans="1:29" ht="15" customHeight="1" x14ac:dyDescent="0.25">
      <c r="A72" s="306"/>
      <c r="B72" s="306"/>
      <c r="C72" s="306"/>
      <c r="D72" s="306"/>
      <c r="E72" s="306"/>
      <c r="F72" s="306"/>
      <c r="G72" s="306"/>
      <c r="H72" s="306"/>
      <c r="I72" s="306"/>
      <c r="J72" s="306"/>
      <c r="K72" s="306"/>
      <c r="L72" s="11"/>
      <c r="M72" s="11"/>
    </row>
    <row r="73" spans="1:29" ht="15" customHeight="1" x14ac:dyDescent="0.25">
      <c r="A73" s="286" t="s">
        <v>79</v>
      </c>
      <c r="B73" s="287"/>
      <c r="C73" s="287"/>
      <c r="D73" s="287"/>
      <c r="E73" s="287"/>
      <c r="F73" s="287"/>
      <c r="G73" s="287"/>
      <c r="H73" s="287"/>
      <c r="I73" s="287"/>
      <c r="J73" s="287"/>
      <c r="K73" s="288"/>
      <c r="L73" s="11"/>
      <c r="M73" s="320"/>
      <c r="N73" s="320"/>
      <c r="O73" s="320"/>
      <c r="P73" s="320"/>
    </row>
    <row r="74" spans="1:29" ht="15" customHeight="1" x14ac:dyDescent="0.25">
      <c r="A74" s="40">
        <v>3</v>
      </c>
      <c r="B74" s="60" t="s">
        <v>169</v>
      </c>
      <c r="C74" s="59"/>
      <c r="D74" s="59"/>
      <c r="E74" s="59"/>
      <c r="F74" s="59"/>
      <c r="G74" s="59"/>
      <c r="H74" s="59"/>
      <c r="I74" s="59"/>
      <c r="J74" s="40" t="s">
        <v>64</v>
      </c>
      <c r="K74" s="43" t="s">
        <v>10</v>
      </c>
      <c r="L74" s="11"/>
      <c r="M74" s="320"/>
      <c r="N74" s="320"/>
      <c r="O74" s="320"/>
      <c r="P74" s="320"/>
    </row>
    <row r="75" spans="1:29" ht="15" customHeight="1" x14ac:dyDescent="0.25">
      <c r="A75" s="23" t="s">
        <v>2</v>
      </c>
      <c r="B75" s="324" t="s">
        <v>260</v>
      </c>
      <c r="C75" s="325"/>
      <c r="D75" s="325"/>
      <c r="E75" s="325"/>
      <c r="F75" s="325"/>
      <c r="G75" s="326"/>
      <c r="H75" s="222"/>
      <c r="I75" s="222"/>
      <c r="J75" s="55">
        <v>4.6249999999999998E-3</v>
      </c>
      <c r="K75" s="32">
        <f>$J$75*(J26+J27+J30)</f>
        <v>10.998065</v>
      </c>
      <c r="L75" s="11"/>
      <c r="M75" s="330"/>
      <c r="N75" s="330"/>
      <c r="O75" s="330"/>
      <c r="P75" s="330"/>
      <c r="Q75" s="330"/>
      <c r="R75" s="330"/>
      <c r="S75" s="330"/>
      <c r="T75" s="330"/>
      <c r="U75" s="330"/>
      <c r="V75" s="330"/>
      <c r="W75" s="330"/>
      <c r="X75" s="330"/>
      <c r="Y75" s="330"/>
      <c r="Z75" s="330"/>
      <c r="AA75" s="330"/>
      <c r="AB75" s="330"/>
      <c r="AC75" s="330"/>
    </row>
    <row r="76" spans="1:29" ht="15" customHeight="1" x14ac:dyDescent="0.25">
      <c r="A76" s="23" t="s">
        <v>3</v>
      </c>
      <c r="B76" s="62" t="s">
        <v>26</v>
      </c>
      <c r="C76" s="63"/>
      <c r="D76" s="63"/>
      <c r="E76" s="63"/>
      <c r="F76" s="63"/>
      <c r="G76" s="63"/>
      <c r="H76" s="63"/>
      <c r="I76" s="63"/>
      <c r="J76" s="55">
        <f>K76/(J26+J27+J30)</f>
        <v>3.7000000000000005E-4</v>
      </c>
      <c r="K76" s="32">
        <f>K75*0.08</f>
        <v>0.8798452000000001</v>
      </c>
      <c r="L76" s="11"/>
      <c r="M76" s="108"/>
      <c r="N76" s="52"/>
    </row>
    <row r="77" spans="1:29" ht="15" customHeight="1" x14ac:dyDescent="0.25">
      <c r="A77" s="23" t="s">
        <v>4</v>
      </c>
      <c r="B77" s="62" t="s">
        <v>321</v>
      </c>
      <c r="C77" s="63"/>
      <c r="D77" s="63"/>
      <c r="E77" s="63"/>
      <c r="F77" s="63"/>
      <c r="G77" s="63"/>
      <c r="H77" s="63"/>
      <c r="I77" s="63"/>
      <c r="J77" s="55">
        <v>5.4000000000000003E-3</v>
      </c>
      <c r="K77" s="32">
        <f>K75*0.4</f>
        <v>4.3992260000000005</v>
      </c>
      <c r="L77" s="11"/>
      <c r="M77" s="320"/>
      <c r="N77" s="320"/>
      <c r="O77" s="320"/>
      <c r="P77" s="320"/>
      <c r="Q77" s="320"/>
      <c r="R77" s="320"/>
      <c r="S77" s="320"/>
      <c r="T77" s="320"/>
      <c r="U77" s="320"/>
      <c r="V77" s="320"/>
      <c r="W77" s="320"/>
      <c r="X77" s="320"/>
      <c r="Y77" s="320"/>
      <c r="Z77" s="320"/>
      <c r="AA77" s="320"/>
      <c r="AB77" s="320"/>
    </row>
    <row r="78" spans="1:29" ht="15" customHeight="1" x14ac:dyDescent="0.25">
      <c r="A78" s="23" t="s">
        <v>5</v>
      </c>
      <c r="B78" s="324" t="s">
        <v>261</v>
      </c>
      <c r="C78" s="325"/>
      <c r="D78" s="325"/>
      <c r="E78" s="325"/>
      <c r="F78" s="325"/>
      <c r="G78" s="326"/>
      <c r="H78" s="222"/>
      <c r="I78" s="222"/>
      <c r="J78" s="55">
        <f>7/30/12</f>
        <v>1.9444444444444445E-2</v>
      </c>
      <c r="K78" s="32">
        <f>J78*(J26+J27+J30)</f>
        <v>46.23811111111111</v>
      </c>
      <c r="L78" s="11"/>
      <c r="M78" s="108"/>
      <c r="O78" s="54"/>
    </row>
    <row r="79" spans="1:29" ht="15" customHeight="1" x14ac:dyDescent="0.25">
      <c r="A79" s="23" t="s">
        <v>11</v>
      </c>
      <c r="B79" s="62" t="s">
        <v>78</v>
      </c>
      <c r="C79" s="63"/>
      <c r="D79" s="63"/>
      <c r="E79" s="63"/>
      <c r="F79" s="63"/>
      <c r="G79" s="63"/>
      <c r="H79" s="63"/>
      <c r="I79" s="63"/>
      <c r="J79" s="55">
        <f>J51*J78</f>
        <v>7.1555555555555565E-3</v>
      </c>
      <c r="K79" s="32">
        <f>J79*(J26+J27+J30)</f>
        <v>17.01562488888889</v>
      </c>
      <c r="L79" s="11"/>
      <c r="M79" s="320"/>
      <c r="N79" s="320"/>
      <c r="O79" s="320"/>
      <c r="P79" s="320"/>
    </row>
    <row r="80" spans="1:29" ht="15" customHeight="1" x14ac:dyDescent="0.25">
      <c r="A80" s="23" t="s">
        <v>12</v>
      </c>
      <c r="B80" s="62" t="s">
        <v>322</v>
      </c>
      <c r="C80" s="63"/>
      <c r="D80" s="63"/>
      <c r="E80" s="63"/>
      <c r="F80" s="63"/>
      <c r="G80" s="63"/>
      <c r="H80" s="63"/>
      <c r="I80" s="63"/>
      <c r="J80" s="55">
        <v>3.4599999999999999E-2</v>
      </c>
      <c r="K80" s="32">
        <f>J80*(J26+J27+J30)</f>
        <v>82.277416000000002</v>
      </c>
      <c r="L80" s="11"/>
      <c r="M80" s="327"/>
      <c r="N80" s="327"/>
      <c r="O80" s="327"/>
      <c r="P80" s="327"/>
      <c r="Q80" s="327"/>
    </row>
    <row r="81" spans="1:42" ht="15" customHeight="1" x14ac:dyDescent="0.25">
      <c r="A81" s="60" t="s">
        <v>68</v>
      </c>
      <c r="B81" s="59"/>
      <c r="C81" s="59"/>
      <c r="D81" s="59"/>
      <c r="E81" s="59"/>
      <c r="F81" s="59"/>
      <c r="G81" s="59"/>
      <c r="H81" s="59"/>
      <c r="I81" s="59"/>
      <c r="J81" s="328">
        <f>SUM(K75:K80)</f>
        <v>161.80828819999999</v>
      </c>
      <c r="K81" s="328"/>
      <c r="L81" s="11"/>
      <c r="M81" s="109"/>
    </row>
    <row r="82" spans="1:42" ht="15" customHeight="1" x14ac:dyDescent="0.25">
      <c r="A82" s="329"/>
      <c r="B82" s="329"/>
      <c r="C82" s="329"/>
      <c r="D82" s="329"/>
      <c r="E82" s="329"/>
      <c r="F82" s="329"/>
      <c r="G82" s="329"/>
      <c r="H82" s="329"/>
      <c r="I82" s="329"/>
      <c r="J82" s="329"/>
      <c r="K82" s="329"/>
      <c r="L82" s="11"/>
      <c r="M82" s="320"/>
      <c r="N82" s="320"/>
      <c r="O82" s="320"/>
      <c r="P82" s="320"/>
      <c r="Q82" s="320"/>
      <c r="R82" s="320"/>
      <c r="S82" s="320"/>
      <c r="T82" s="320"/>
      <c r="U82" s="320"/>
      <c r="V82" s="320"/>
      <c r="W82" s="320"/>
      <c r="X82" s="320"/>
      <c r="Y82" s="320"/>
      <c r="Z82" s="320"/>
      <c r="AA82" s="320"/>
      <c r="AB82" s="320"/>
    </row>
    <row r="83" spans="1:42" ht="15" customHeight="1" x14ac:dyDescent="0.25">
      <c r="A83" s="286" t="s">
        <v>76</v>
      </c>
      <c r="B83" s="287"/>
      <c r="C83" s="287"/>
      <c r="D83" s="287"/>
      <c r="E83" s="287"/>
      <c r="F83" s="287"/>
      <c r="G83" s="287"/>
      <c r="H83" s="287"/>
      <c r="I83" s="287"/>
      <c r="J83" s="287"/>
      <c r="K83" s="288"/>
      <c r="L83" s="11"/>
      <c r="M83" s="108"/>
    </row>
    <row r="84" spans="1:42" ht="15" customHeight="1" x14ac:dyDescent="0.25">
      <c r="A84" s="317" t="s">
        <v>75</v>
      </c>
      <c r="B84" s="318"/>
      <c r="C84" s="318"/>
      <c r="D84" s="318"/>
      <c r="E84" s="318"/>
      <c r="F84" s="318"/>
      <c r="G84" s="318"/>
      <c r="H84" s="318"/>
      <c r="I84" s="318"/>
      <c r="J84" s="318"/>
      <c r="K84" s="319"/>
      <c r="L84" s="11"/>
      <c r="M84" s="320"/>
      <c r="N84" s="320"/>
      <c r="O84" s="320"/>
      <c r="P84" s="320"/>
      <c r="Q84" s="320"/>
      <c r="R84" s="320"/>
      <c r="S84" s="320"/>
      <c r="T84" s="320"/>
      <c r="U84" s="320"/>
      <c r="V84" s="320"/>
      <c r="W84" s="320"/>
      <c r="X84" s="320"/>
      <c r="Y84" s="320"/>
      <c r="Z84" s="320"/>
      <c r="AA84" s="320"/>
      <c r="AB84" s="320"/>
      <c r="AC84" s="320"/>
      <c r="AD84" s="320"/>
      <c r="AE84" s="320"/>
      <c r="AF84" s="320"/>
      <c r="AG84" s="320"/>
      <c r="AH84" s="320"/>
      <c r="AI84" s="320"/>
      <c r="AJ84" s="320"/>
      <c r="AK84" s="320"/>
      <c r="AL84" s="320"/>
      <c r="AM84" s="320"/>
      <c r="AN84" s="320"/>
      <c r="AO84" s="320"/>
      <c r="AP84" s="320"/>
    </row>
    <row r="85" spans="1:42" ht="15" customHeight="1" x14ac:dyDescent="0.25">
      <c r="A85" s="40" t="s">
        <v>17</v>
      </c>
      <c r="B85" s="321" t="s">
        <v>74</v>
      </c>
      <c r="C85" s="322"/>
      <c r="D85" s="322"/>
      <c r="E85" s="322"/>
      <c r="F85" s="322"/>
      <c r="G85" s="323"/>
      <c r="H85" s="219"/>
      <c r="I85" s="219"/>
      <c r="J85" s="40" t="s">
        <v>64</v>
      </c>
      <c r="K85" s="40" t="s">
        <v>10</v>
      </c>
      <c r="L85" s="11"/>
      <c r="M85" s="108"/>
    </row>
    <row r="86" spans="1:42" ht="15" customHeight="1" x14ac:dyDescent="0.25">
      <c r="A86" s="23" t="s">
        <v>2</v>
      </c>
      <c r="B86" s="62" t="s">
        <v>73</v>
      </c>
      <c r="C86" s="63"/>
      <c r="D86" s="63"/>
      <c r="E86" s="63"/>
      <c r="F86" s="63"/>
      <c r="G86" s="63"/>
      <c r="H86" s="63"/>
      <c r="I86" s="63"/>
      <c r="J86" s="55">
        <f>'Memória de Cálculo'!C48</f>
        <v>6.9444444444444441E-3</v>
      </c>
      <c r="K86" s="30">
        <f>J86*(J26+J27)</f>
        <v>16.513611111111111</v>
      </c>
      <c r="L86" s="11"/>
      <c r="M86" s="11"/>
    </row>
    <row r="87" spans="1:42" ht="15" customHeight="1" x14ac:dyDescent="0.25">
      <c r="A87" s="23" t="s">
        <v>3</v>
      </c>
      <c r="B87" s="62" t="s">
        <v>277</v>
      </c>
      <c r="C87" s="63"/>
      <c r="D87" s="63"/>
      <c r="E87" s="63"/>
      <c r="F87" s="63"/>
      <c r="G87" s="63"/>
      <c r="H87" s="63"/>
      <c r="I87" s="63"/>
      <c r="J87" s="55">
        <f>'Memória de Cálculo'!C49</f>
        <v>8.3333333333333332E-3</v>
      </c>
      <c r="K87" s="30">
        <f>J87*(J26+J27+J30)</f>
        <v>19.816333333333333</v>
      </c>
      <c r="L87" s="11"/>
      <c r="M87" s="13"/>
      <c r="N87" s="9"/>
      <c r="O87" s="9"/>
      <c r="Q87" s="64"/>
    </row>
    <row r="88" spans="1:42" ht="15" customHeight="1" x14ac:dyDescent="0.25">
      <c r="A88" s="23" t="s">
        <v>4</v>
      </c>
      <c r="B88" s="62" t="s">
        <v>331</v>
      </c>
      <c r="C88" s="63"/>
      <c r="D88" s="63"/>
      <c r="E88" s="63"/>
      <c r="F88" s="63"/>
      <c r="G88" s="63"/>
      <c r="H88" s="63"/>
      <c r="I88" s="63"/>
      <c r="J88" s="55">
        <f>'Memória de Cálculo'!C50</f>
        <v>5.2499999999999997E-4</v>
      </c>
      <c r="K88" s="30">
        <f>J88*(J26+J27)</f>
        <v>1.248429</v>
      </c>
      <c r="L88" s="11"/>
      <c r="M88" s="13"/>
      <c r="N88" s="9"/>
      <c r="O88" s="9"/>
      <c r="Q88" s="64"/>
    </row>
    <row r="89" spans="1:42" ht="15" customHeight="1" x14ac:dyDescent="0.25">
      <c r="A89" s="23" t="s">
        <v>5</v>
      </c>
      <c r="B89" s="62" t="s">
        <v>137</v>
      </c>
      <c r="C89" s="63"/>
      <c r="D89" s="63"/>
      <c r="E89" s="63"/>
      <c r="F89" s="63"/>
      <c r="G89" s="63"/>
      <c r="H89" s="63"/>
      <c r="I89" s="63"/>
      <c r="J89" s="55">
        <f>'Memória de Cálculo'!C51</f>
        <v>1.1250000000000001E-4</v>
      </c>
      <c r="K89" s="30">
        <f>J89*(J26+J27+J30)</f>
        <v>0.26752050000000005</v>
      </c>
      <c r="L89" s="11"/>
      <c r="M89" s="11"/>
    </row>
    <row r="90" spans="1:42" ht="15" customHeight="1" x14ac:dyDescent="0.25">
      <c r="A90" s="23" t="s">
        <v>11</v>
      </c>
      <c r="B90" s="62" t="s">
        <v>72</v>
      </c>
      <c r="C90" s="63"/>
      <c r="D90" s="63"/>
      <c r="E90" s="63"/>
      <c r="F90" s="63"/>
      <c r="G90" s="63"/>
      <c r="H90" s="63"/>
      <c r="I90" s="63"/>
      <c r="J90" s="55">
        <f>'Memória de Cálculo'!C52</f>
        <v>4.1666666666666664E-2</v>
      </c>
      <c r="K90" s="30">
        <f>J90*(J26+J27+J30)</f>
        <v>99.081666666666663</v>
      </c>
      <c r="L90" s="11"/>
      <c r="M90" s="11"/>
    </row>
    <row r="91" spans="1:42" ht="15" customHeight="1" x14ac:dyDescent="0.25">
      <c r="A91" s="23" t="s">
        <v>12</v>
      </c>
      <c r="B91" s="62" t="s">
        <v>276</v>
      </c>
      <c r="C91" s="63"/>
      <c r="D91" s="63"/>
      <c r="E91" s="63"/>
      <c r="F91" s="63"/>
      <c r="G91" s="63"/>
      <c r="H91" s="63"/>
      <c r="I91" s="63"/>
      <c r="J91" s="55">
        <f>'Memória de Cálculo'!C53</f>
        <v>1.3888888888888888E-2</v>
      </c>
      <c r="K91" s="30">
        <f>J91*(J26+J27+J30)</f>
        <v>33.027222222222221</v>
      </c>
      <c r="L91" s="11"/>
      <c r="M91" s="11"/>
      <c r="O91" s="68"/>
    </row>
    <row r="92" spans="1:42" ht="15" customHeight="1" x14ac:dyDescent="0.25">
      <c r="A92" s="23"/>
      <c r="B92" s="281" t="s">
        <v>138</v>
      </c>
      <c r="C92" s="312"/>
      <c r="D92" s="312"/>
      <c r="E92" s="312"/>
      <c r="F92" s="312"/>
      <c r="G92" s="282"/>
      <c r="H92" s="216"/>
      <c r="I92" s="216"/>
      <c r="J92" s="67">
        <f>SUM(J86:J91)</f>
        <v>7.1470833333333331E-2</v>
      </c>
      <c r="K92" s="30"/>
      <c r="L92" s="11"/>
      <c r="M92" s="11"/>
    </row>
    <row r="93" spans="1:42" ht="15" customHeight="1" x14ac:dyDescent="0.25">
      <c r="A93" s="23" t="s">
        <v>23</v>
      </c>
      <c r="B93" s="241" t="s">
        <v>332</v>
      </c>
      <c r="C93" s="63"/>
      <c r="D93" s="63"/>
      <c r="E93" s="63"/>
      <c r="F93" s="63"/>
      <c r="G93" s="63"/>
      <c r="H93" s="63"/>
      <c r="I93" s="63"/>
      <c r="J93" s="55">
        <f>SUM(J86:J89)*J51</f>
        <v>5.8568222222222235E-3</v>
      </c>
      <c r="K93" s="30">
        <f>J93*(J26+J27+J30)</f>
        <v>13.927288971555559</v>
      </c>
      <c r="L93" s="11"/>
      <c r="M93" s="11"/>
    </row>
    <row r="94" spans="1:42" ht="15" customHeight="1" x14ac:dyDescent="0.25">
      <c r="A94" s="281" t="s">
        <v>68</v>
      </c>
      <c r="B94" s="312"/>
      <c r="C94" s="312"/>
      <c r="D94" s="312"/>
      <c r="E94" s="312"/>
      <c r="F94" s="312"/>
      <c r="G94" s="282"/>
      <c r="H94" s="216"/>
      <c r="I94" s="216"/>
      <c r="J94" s="42">
        <f>J92+J93</f>
        <v>7.7327655555555555E-2</v>
      </c>
      <c r="K94" s="41">
        <f>SUM(K86:K91,K93:K93)</f>
        <v>183.88207180488891</v>
      </c>
      <c r="L94" s="11"/>
      <c r="M94" s="11"/>
    </row>
    <row r="95" spans="1:42" ht="15" customHeight="1" x14ac:dyDescent="0.25">
      <c r="A95" s="309"/>
      <c r="B95" s="309"/>
      <c r="C95" s="309"/>
      <c r="D95" s="309"/>
      <c r="E95" s="309"/>
      <c r="F95" s="309"/>
      <c r="G95" s="309"/>
      <c r="H95" s="309"/>
      <c r="I95" s="309"/>
      <c r="J95" s="309"/>
      <c r="K95" s="309"/>
      <c r="L95" s="11"/>
      <c r="M95" s="11"/>
    </row>
    <row r="96" spans="1:42" ht="15" customHeight="1" x14ac:dyDescent="0.25">
      <c r="A96" s="310" t="s">
        <v>71</v>
      </c>
      <c r="B96" s="310"/>
      <c r="C96" s="310"/>
      <c r="D96" s="310"/>
      <c r="E96" s="310"/>
      <c r="F96" s="310"/>
      <c r="G96" s="310"/>
      <c r="H96" s="310"/>
      <c r="I96" s="310"/>
      <c r="J96" s="310"/>
      <c r="K96" s="310"/>
      <c r="L96" s="11"/>
      <c r="M96" s="11"/>
    </row>
    <row r="97" spans="1:14" ht="15" customHeight="1" x14ac:dyDescent="0.25">
      <c r="A97" s="311"/>
      <c r="B97" s="311"/>
      <c r="C97" s="311"/>
      <c r="D97" s="311"/>
      <c r="E97" s="311"/>
      <c r="F97" s="311"/>
      <c r="G97" s="311"/>
      <c r="H97" s="311"/>
      <c r="I97" s="311"/>
      <c r="J97" s="311"/>
      <c r="K97" s="311"/>
      <c r="L97" s="11"/>
      <c r="M97" s="11"/>
    </row>
    <row r="98" spans="1:14" ht="15" customHeight="1" x14ac:dyDescent="0.25">
      <c r="A98" s="39">
        <v>4</v>
      </c>
      <c r="B98" s="99" t="s">
        <v>70</v>
      </c>
      <c r="C98" s="100"/>
      <c r="D98" s="100"/>
      <c r="E98" s="100"/>
      <c r="F98" s="100"/>
      <c r="G98" s="100"/>
      <c r="H98" s="100"/>
      <c r="I98" s="100"/>
      <c r="J98" s="312" t="s">
        <v>10</v>
      </c>
      <c r="K98" s="282"/>
      <c r="L98" s="199"/>
      <c r="M98" s="11"/>
    </row>
    <row r="99" spans="1:14" ht="15" customHeight="1" x14ac:dyDescent="0.25">
      <c r="A99" s="24" t="s">
        <v>17</v>
      </c>
      <c r="B99" s="97" t="s">
        <v>69</v>
      </c>
      <c r="C99" s="98"/>
      <c r="D99" s="98"/>
      <c r="E99" s="98"/>
      <c r="F99" s="98"/>
      <c r="G99" s="98"/>
      <c r="H99" s="98"/>
      <c r="I99" s="98"/>
      <c r="J99" s="313">
        <f>K94</f>
        <v>183.88207180488891</v>
      </c>
      <c r="K99" s="314"/>
      <c r="L99" s="200"/>
      <c r="M99" s="11"/>
    </row>
    <row r="100" spans="1:14" ht="15" customHeight="1" x14ac:dyDescent="0.25">
      <c r="A100" s="60" t="s">
        <v>68</v>
      </c>
      <c r="B100" s="59"/>
      <c r="C100" s="59"/>
      <c r="D100" s="59"/>
      <c r="E100" s="59"/>
      <c r="F100" s="59"/>
      <c r="G100" s="59"/>
      <c r="H100" s="59"/>
      <c r="I100" s="59"/>
      <c r="J100" s="315">
        <f>SUM(J99:L99)</f>
        <v>183.88207180488891</v>
      </c>
      <c r="K100" s="316"/>
      <c r="L100" s="201"/>
      <c r="M100" s="11"/>
    </row>
    <row r="101" spans="1:14" ht="15" customHeight="1" x14ac:dyDescent="0.25">
      <c r="A101" s="306"/>
      <c r="B101" s="306"/>
      <c r="C101" s="306"/>
      <c r="D101" s="306"/>
      <c r="E101" s="306"/>
      <c r="F101" s="306"/>
      <c r="G101" s="306"/>
      <c r="H101" s="306"/>
      <c r="I101" s="306"/>
      <c r="J101" s="306"/>
      <c r="K101" s="306"/>
      <c r="L101" s="11"/>
      <c r="M101" s="11"/>
    </row>
    <row r="102" spans="1:14" ht="15" customHeight="1" x14ac:dyDescent="0.25">
      <c r="A102" s="286" t="s">
        <v>67</v>
      </c>
      <c r="B102" s="287"/>
      <c r="C102" s="287"/>
      <c r="D102" s="287"/>
      <c r="E102" s="287"/>
      <c r="F102" s="287"/>
      <c r="G102" s="287"/>
      <c r="H102" s="287"/>
      <c r="I102" s="287"/>
      <c r="J102" s="287"/>
      <c r="K102" s="288"/>
      <c r="L102" s="11"/>
      <c r="M102" s="11"/>
    </row>
    <row r="103" spans="1:14" ht="15" customHeight="1" x14ac:dyDescent="0.25">
      <c r="A103" s="40">
        <v>5</v>
      </c>
      <c r="B103" s="307" t="s">
        <v>13</v>
      </c>
      <c r="C103" s="307"/>
      <c r="D103" s="307"/>
      <c r="E103" s="307"/>
      <c r="F103" s="307"/>
      <c r="G103" s="307"/>
      <c r="H103" s="215"/>
      <c r="I103" s="215"/>
      <c r="J103" s="308" t="s">
        <v>10</v>
      </c>
      <c r="K103" s="308"/>
      <c r="L103" s="11"/>
      <c r="M103" s="11"/>
    </row>
    <row r="104" spans="1:14" ht="15" customHeight="1" x14ac:dyDescent="0.25">
      <c r="A104" s="24" t="s">
        <v>2</v>
      </c>
      <c r="B104" s="301" t="s">
        <v>14</v>
      </c>
      <c r="C104" s="302"/>
      <c r="D104" s="302"/>
      <c r="E104" s="302"/>
      <c r="F104" s="302"/>
      <c r="G104" s="303"/>
      <c r="H104" s="214"/>
      <c r="I104" s="214"/>
      <c r="J104" s="300">
        <f>Uniformes!I21</f>
        <v>264.22733333333332</v>
      </c>
      <c r="K104" s="300"/>
      <c r="L104" s="11"/>
      <c r="M104" s="11"/>
    </row>
    <row r="105" spans="1:14" ht="15" customHeight="1" x14ac:dyDescent="0.25">
      <c r="A105" s="24" t="s">
        <v>3</v>
      </c>
      <c r="B105" s="297" t="s">
        <v>16</v>
      </c>
      <c r="C105" s="298"/>
      <c r="D105" s="298"/>
      <c r="E105" s="298"/>
      <c r="F105" s="298"/>
      <c r="G105" s="299"/>
      <c r="H105" s="212"/>
      <c r="I105" s="212"/>
      <c r="J105" s="300">
        <f>'Insumos e Equipamentos'!N19</f>
        <v>25.197484444444445</v>
      </c>
      <c r="K105" s="300"/>
      <c r="L105" s="11"/>
      <c r="M105" s="11"/>
    </row>
    <row r="106" spans="1:14" ht="15" customHeight="1" x14ac:dyDescent="0.25">
      <c r="A106" s="24" t="s">
        <v>4</v>
      </c>
      <c r="B106" s="301" t="s">
        <v>15</v>
      </c>
      <c r="C106" s="302"/>
      <c r="D106" s="302"/>
      <c r="E106" s="302"/>
      <c r="F106" s="302"/>
      <c r="G106" s="303"/>
      <c r="H106" s="214"/>
      <c r="I106" s="214"/>
      <c r="J106" s="300">
        <f>'Insumos e Equipamentos'!J12</f>
        <v>53.792672777777774</v>
      </c>
      <c r="K106" s="300"/>
      <c r="L106" s="11"/>
      <c r="M106" s="11"/>
    </row>
    <row r="107" spans="1:14" ht="15" customHeight="1" x14ac:dyDescent="0.25">
      <c r="A107" s="24" t="s">
        <v>5</v>
      </c>
      <c r="B107" s="301" t="s">
        <v>100</v>
      </c>
      <c r="C107" s="302"/>
      <c r="D107" s="302"/>
      <c r="E107" s="302"/>
      <c r="F107" s="302"/>
      <c r="G107" s="303"/>
      <c r="H107" s="213"/>
      <c r="I107" s="213"/>
      <c r="J107" s="304"/>
      <c r="K107" s="305"/>
      <c r="L107" s="11"/>
      <c r="M107" s="11"/>
    </row>
    <row r="108" spans="1:14" ht="15" customHeight="1" x14ac:dyDescent="0.25">
      <c r="A108" s="278" t="s">
        <v>37</v>
      </c>
      <c r="B108" s="278"/>
      <c r="C108" s="278"/>
      <c r="D108" s="278"/>
      <c r="E108" s="278"/>
      <c r="F108" s="278"/>
      <c r="G108" s="278"/>
      <c r="H108" s="39"/>
      <c r="I108" s="39"/>
      <c r="J108" s="289">
        <f>SUM(J104:K106)</f>
        <v>343.21749055555557</v>
      </c>
      <c r="K108" s="289"/>
      <c r="L108" s="11"/>
      <c r="M108" s="11"/>
    </row>
    <row r="109" spans="1:14" ht="15" customHeight="1" x14ac:dyDescent="0.25">
      <c r="A109" s="295"/>
      <c r="B109" s="295"/>
      <c r="C109" s="295"/>
      <c r="D109" s="295"/>
      <c r="E109" s="295"/>
      <c r="F109" s="295"/>
      <c r="G109" s="295"/>
      <c r="H109" s="295"/>
      <c r="I109" s="295"/>
      <c r="J109" s="295"/>
      <c r="K109" s="295"/>
      <c r="L109" s="11"/>
      <c r="M109" s="11"/>
    </row>
    <row r="110" spans="1:14" ht="15" customHeight="1" x14ac:dyDescent="0.25">
      <c r="A110" s="286" t="s">
        <v>65</v>
      </c>
      <c r="B110" s="287"/>
      <c r="C110" s="287"/>
      <c r="D110" s="287"/>
      <c r="E110" s="287"/>
      <c r="F110" s="287"/>
      <c r="G110" s="287"/>
      <c r="H110" s="287"/>
      <c r="I110" s="287"/>
      <c r="J110" s="287"/>
      <c r="K110" s="288"/>
      <c r="L110" s="11"/>
      <c r="M110" s="11"/>
    </row>
    <row r="111" spans="1:14" ht="15" customHeight="1" x14ac:dyDescent="0.25">
      <c r="A111" s="39">
        <v>6</v>
      </c>
      <c r="B111" s="296" t="s">
        <v>27</v>
      </c>
      <c r="C111" s="296"/>
      <c r="D111" s="296"/>
      <c r="E111" s="296"/>
      <c r="F111" s="296"/>
      <c r="G111" s="296"/>
      <c r="H111" s="211"/>
      <c r="I111" s="211"/>
      <c r="J111" s="39" t="s">
        <v>64</v>
      </c>
      <c r="K111" s="39" t="s">
        <v>10</v>
      </c>
      <c r="L111" s="11"/>
      <c r="M111" s="11"/>
    </row>
    <row r="112" spans="1:14" ht="15" customHeight="1" x14ac:dyDescent="0.25">
      <c r="A112" s="24" t="s">
        <v>2</v>
      </c>
      <c r="B112" s="276" t="s">
        <v>63</v>
      </c>
      <c r="C112" s="276"/>
      <c r="D112" s="276"/>
      <c r="E112" s="276"/>
      <c r="F112" s="276"/>
      <c r="G112" s="276"/>
      <c r="H112" s="210"/>
      <c r="I112" s="210"/>
      <c r="J112" s="34">
        <v>0.06</v>
      </c>
      <c r="K112" s="35">
        <f>J128*J112</f>
        <v>313.75842590786669</v>
      </c>
      <c r="L112" s="11"/>
      <c r="M112" s="11"/>
      <c r="N112" s="53"/>
    </row>
    <row r="113" spans="1:14" ht="15" customHeight="1" x14ac:dyDescent="0.25">
      <c r="A113" s="24" t="s">
        <v>3</v>
      </c>
      <c r="B113" s="276" t="s">
        <v>28</v>
      </c>
      <c r="C113" s="276"/>
      <c r="D113" s="276"/>
      <c r="E113" s="276"/>
      <c r="F113" s="276"/>
      <c r="G113" s="276"/>
      <c r="H113" s="210"/>
      <c r="I113" s="210"/>
      <c r="J113" s="34">
        <v>6.7900000000000002E-2</v>
      </c>
      <c r="K113" s="35">
        <f>(K112+J128)*J113</f>
        <v>376.37414910488002</v>
      </c>
      <c r="L113" s="11"/>
      <c r="M113" s="11"/>
      <c r="N113" s="52"/>
    </row>
    <row r="114" spans="1:14" ht="15" customHeight="1" x14ac:dyDescent="0.25">
      <c r="A114" s="24" t="s">
        <v>4</v>
      </c>
      <c r="B114" s="276" t="s">
        <v>29</v>
      </c>
      <c r="C114" s="276"/>
      <c r="D114" s="276"/>
      <c r="E114" s="276"/>
      <c r="F114" s="276"/>
      <c r="G114" s="276"/>
      <c r="H114" s="210"/>
      <c r="I114" s="210"/>
      <c r="J114" s="34">
        <f>SUM(J115:J117)</f>
        <v>8.6499999999999994E-2</v>
      </c>
      <c r="K114" s="35"/>
      <c r="L114" s="11"/>
      <c r="M114" s="11"/>
    </row>
    <row r="115" spans="1:14" ht="15" customHeight="1" x14ac:dyDescent="0.25">
      <c r="A115" s="292" t="s">
        <v>62</v>
      </c>
      <c r="B115" s="292"/>
      <c r="C115" s="293" t="s">
        <v>61</v>
      </c>
      <c r="D115" s="25" t="s">
        <v>30</v>
      </c>
      <c r="E115" s="26"/>
      <c r="F115" s="26"/>
      <c r="G115" s="28"/>
      <c r="H115" s="28"/>
      <c r="I115" s="28"/>
      <c r="J115" s="34">
        <v>6.4999999999999997E-3</v>
      </c>
      <c r="K115" s="35">
        <f>((J128+K112+K113)/(1-(J114)))*J115</f>
        <v>42.119713057035305</v>
      </c>
      <c r="L115" s="11"/>
      <c r="M115" s="11"/>
    </row>
    <row r="116" spans="1:14" ht="15" customHeight="1" x14ac:dyDescent="0.25">
      <c r="A116" s="292" t="s">
        <v>60</v>
      </c>
      <c r="B116" s="292"/>
      <c r="C116" s="294"/>
      <c r="D116" s="25" t="s">
        <v>31</v>
      </c>
      <c r="E116" s="26"/>
      <c r="F116" s="26"/>
      <c r="G116" s="28"/>
      <c r="H116" s="28"/>
      <c r="I116" s="28"/>
      <c r="J116" s="34">
        <v>0.03</v>
      </c>
      <c r="K116" s="35">
        <f>((J128+K112+K113)/(1-(J114)))*J116</f>
        <v>194.39867564785524</v>
      </c>
      <c r="L116" s="11"/>
      <c r="M116" s="11"/>
    </row>
    <row r="117" spans="1:14" ht="15" customHeight="1" x14ac:dyDescent="0.25">
      <c r="A117" s="292" t="s">
        <v>59</v>
      </c>
      <c r="B117" s="292"/>
      <c r="C117" s="36" t="s">
        <v>58</v>
      </c>
      <c r="D117" s="25" t="s">
        <v>32</v>
      </c>
      <c r="E117" s="26"/>
      <c r="F117" s="26"/>
      <c r="G117" s="28"/>
      <c r="H117" s="28"/>
      <c r="I117" s="28"/>
      <c r="J117" s="34">
        <v>0.05</v>
      </c>
      <c r="K117" s="35">
        <f>((J128+K112+K113)/(1-(J114)))*J117</f>
        <v>323.99779274642543</v>
      </c>
      <c r="L117" s="11"/>
      <c r="M117" s="11"/>
    </row>
    <row r="118" spans="1:14" ht="15" customHeight="1" x14ac:dyDescent="0.25">
      <c r="A118" s="278" t="s">
        <v>37</v>
      </c>
      <c r="B118" s="278"/>
      <c r="C118" s="278"/>
      <c r="D118" s="278"/>
      <c r="E118" s="278"/>
      <c r="F118" s="278"/>
      <c r="G118" s="278"/>
      <c r="H118" s="39"/>
      <c r="I118" s="39"/>
      <c r="J118" s="38">
        <f>J114+J113+J112</f>
        <v>0.21439999999999998</v>
      </c>
      <c r="K118" s="37">
        <f>J128*J118</f>
        <v>1121.163441910777</v>
      </c>
      <c r="L118" s="11"/>
      <c r="M118" s="11"/>
    </row>
    <row r="119" spans="1:14" ht="15" customHeight="1" x14ac:dyDescent="0.25">
      <c r="A119" s="290"/>
      <c r="B119" s="290"/>
      <c r="C119" s="290"/>
      <c r="D119" s="290"/>
      <c r="E119" s="290"/>
      <c r="F119" s="290"/>
      <c r="G119" s="290"/>
      <c r="H119" s="290"/>
      <c r="I119" s="290"/>
      <c r="J119" s="290"/>
      <c r="K119" s="290"/>
      <c r="L119" s="11"/>
      <c r="M119" s="11"/>
    </row>
    <row r="120" spans="1:14" ht="15" customHeight="1" x14ac:dyDescent="0.25">
      <c r="A120" s="285" t="s">
        <v>33</v>
      </c>
      <c r="B120" s="285"/>
      <c r="C120" s="285"/>
      <c r="D120" s="285"/>
      <c r="E120" s="285"/>
      <c r="F120" s="285"/>
      <c r="G120" s="285"/>
      <c r="H120" s="285"/>
      <c r="I120" s="285"/>
      <c r="J120" s="285"/>
      <c r="K120" s="285"/>
      <c r="L120" s="11"/>
      <c r="M120" s="11"/>
    </row>
    <row r="121" spans="1:14" ht="15" customHeight="1" x14ac:dyDescent="0.25">
      <c r="A121" s="291"/>
      <c r="B121" s="291"/>
      <c r="C121" s="291"/>
      <c r="D121" s="291"/>
      <c r="E121" s="291"/>
      <c r="F121" s="291"/>
      <c r="G121" s="291"/>
      <c r="H121" s="291"/>
      <c r="I121" s="291"/>
      <c r="J121" s="291"/>
      <c r="K121" s="291"/>
      <c r="L121" s="11"/>
      <c r="M121" s="11"/>
    </row>
    <row r="122" spans="1:14" ht="15" customHeight="1" x14ac:dyDescent="0.25">
      <c r="A122" s="278" t="s">
        <v>57</v>
      </c>
      <c r="B122" s="278"/>
      <c r="C122" s="278"/>
      <c r="D122" s="278"/>
      <c r="E122" s="278"/>
      <c r="F122" s="278"/>
      <c r="G122" s="278"/>
      <c r="H122" s="39"/>
      <c r="I122" s="39"/>
      <c r="J122" s="278" t="s">
        <v>10</v>
      </c>
      <c r="K122" s="278"/>
      <c r="L122" s="11"/>
      <c r="M122" s="11"/>
    </row>
    <row r="123" spans="1:14" ht="15" customHeight="1" x14ac:dyDescent="0.25">
      <c r="A123" s="24" t="s">
        <v>2</v>
      </c>
      <c r="B123" s="276" t="s">
        <v>34</v>
      </c>
      <c r="C123" s="276"/>
      <c r="D123" s="276"/>
      <c r="E123" s="276"/>
      <c r="F123" s="276"/>
      <c r="G123" s="276"/>
      <c r="H123" s="210"/>
      <c r="I123" s="210"/>
      <c r="J123" s="277">
        <f>J34</f>
        <v>2377.96</v>
      </c>
      <c r="K123" s="277"/>
      <c r="L123" s="11"/>
      <c r="M123" s="11"/>
    </row>
    <row r="124" spans="1:14" ht="15" customHeight="1" x14ac:dyDescent="0.25">
      <c r="A124" s="24" t="s">
        <v>3</v>
      </c>
      <c r="B124" s="276" t="s">
        <v>56</v>
      </c>
      <c r="C124" s="276"/>
      <c r="D124" s="276"/>
      <c r="E124" s="276"/>
      <c r="F124" s="276"/>
      <c r="G124" s="276"/>
      <c r="H124" s="210"/>
      <c r="I124" s="210"/>
      <c r="J124" s="277">
        <f>J71</f>
        <v>2162.4392479040002</v>
      </c>
      <c r="K124" s="277"/>
      <c r="L124" s="11"/>
      <c r="M124" s="11"/>
    </row>
    <row r="125" spans="1:14" ht="15" customHeight="1" x14ac:dyDescent="0.25">
      <c r="A125" s="24" t="s">
        <v>4</v>
      </c>
      <c r="B125" s="276" t="s">
        <v>55</v>
      </c>
      <c r="C125" s="276"/>
      <c r="D125" s="276"/>
      <c r="E125" s="276"/>
      <c r="F125" s="276"/>
      <c r="G125" s="276"/>
      <c r="H125" s="210"/>
      <c r="I125" s="210"/>
      <c r="J125" s="277">
        <f>J81</f>
        <v>161.80828819999999</v>
      </c>
      <c r="K125" s="277"/>
      <c r="L125" s="11"/>
      <c r="M125" s="11"/>
    </row>
    <row r="126" spans="1:14" ht="15" customHeight="1" x14ac:dyDescent="0.25">
      <c r="A126" s="24" t="s">
        <v>5</v>
      </c>
      <c r="B126" s="276" t="s">
        <v>54</v>
      </c>
      <c r="C126" s="276"/>
      <c r="D126" s="276"/>
      <c r="E126" s="276"/>
      <c r="F126" s="276"/>
      <c r="G126" s="276"/>
      <c r="H126" s="210"/>
      <c r="I126" s="210"/>
      <c r="J126" s="277">
        <f>J100</f>
        <v>183.88207180488891</v>
      </c>
      <c r="K126" s="277"/>
      <c r="L126" s="11"/>
      <c r="M126" s="11"/>
    </row>
    <row r="127" spans="1:14" ht="15" customHeight="1" x14ac:dyDescent="0.25">
      <c r="A127" s="24" t="s">
        <v>11</v>
      </c>
      <c r="B127" s="276" t="s">
        <v>53</v>
      </c>
      <c r="C127" s="276"/>
      <c r="D127" s="276"/>
      <c r="E127" s="276"/>
      <c r="F127" s="276"/>
      <c r="G127" s="276"/>
      <c r="H127" s="210"/>
      <c r="I127" s="210"/>
      <c r="J127" s="277">
        <f>J108</f>
        <v>343.21749055555557</v>
      </c>
      <c r="K127" s="277"/>
      <c r="L127" s="11"/>
      <c r="M127" s="11"/>
    </row>
    <row r="128" spans="1:14" ht="15" customHeight="1" x14ac:dyDescent="0.25">
      <c r="A128" s="278" t="s">
        <v>52</v>
      </c>
      <c r="B128" s="278"/>
      <c r="C128" s="278"/>
      <c r="D128" s="278"/>
      <c r="E128" s="278"/>
      <c r="F128" s="278"/>
      <c r="G128" s="278"/>
      <c r="H128" s="39"/>
      <c r="I128" s="39"/>
      <c r="J128" s="289">
        <f>SUM(J123:K127)</f>
        <v>5229.3070984644455</v>
      </c>
      <c r="K128" s="289"/>
      <c r="L128" s="11"/>
      <c r="M128" s="11"/>
    </row>
    <row r="129" spans="1:13" ht="15" customHeight="1" x14ac:dyDescent="0.25">
      <c r="A129" s="24" t="s">
        <v>12</v>
      </c>
      <c r="B129" s="276" t="s">
        <v>51</v>
      </c>
      <c r="C129" s="276"/>
      <c r="D129" s="276"/>
      <c r="E129" s="276"/>
      <c r="F129" s="276"/>
      <c r="G129" s="276"/>
      <c r="H129" s="210"/>
      <c r="I129" s="210"/>
      <c r="J129" s="277">
        <f>K118</f>
        <v>1121.163441910777</v>
      </c>
      <c r="K129" s="277"/>
      <c r="L129" s="11"/>
      <c r="M129" s="11"/>
    </row>
    <row r="130" spans="1:13" ht="15" customHeight="1" x14ac:dyDescent="0.25">
      <c r="A130" s="278" t="s">
        <v>50</v>
      </c>
      <c r="B130" s="278"/>
      <c r="C130" s="278"/>
      <c r="D130" s="278"/>
      <c r="E130" s="278"/>
      <c r="F130" s="278"/>
      <c r="G130" s="278"/>
      <c r="H130" s="39"/>
      <c r="I130" s="39"/>
      <c r="J130" s="395">
        <f>SUM(J128:J129)+J138</f>
        <v>6388.4435695308321</v>
      </c>
      <c r="K130" s="395"/>
      <c r="L130" s="11"/>
      <c r="M130" s="11"/>
    </row>
    <row r="131" spans="1:13" ht="15" hidden="1" customHeight="1" x14ac:dyDescent="0.25">
      <c r="K131" s="206">
        <f>J130</f>
        <v>6388.4435695308321</v>
      </c>
      <c r="M131" s="46"/>
    </row>
    <row r="132" spans="1:13" ht="15" customHeight="1" x14ac:dyDescent="0.25">
      <c r="A132" s="285" t="s">
        <v>150</v>
      </c>
      <c r="B132" s="285"/>
      <c r="C132" s="285"/>
      <c r="D132" s="285"/>
      <c r="E132" s="285"/>
      <c r="F132" s="285"/>
      <c r="G132" s="285"/>
      <c r="H132" s="285"/>
      <c r="I132" s="285"/>
      <c r="J132" s="285"/>
      <c r="K132" s="285"/>
    </row>
    <row r="133" spans="1:13" ht="15" customHeight="1" x14ac:dyDescent="0.25">
      <c r="A133" s="286" t="s">
        <v>282</v>
      </c>
      <c r="B133" s="287"/>
      <c r="C133" s="287"/>
      <c r="D133" s="287"/>
      <c r="E133" s="287"/>
      <c r="F133" s="287"/>
      <c r="G133" s="287"/>
      <c r="H133" s="287"/>
      <c r="I133" s="287"/>
      <c r="J133" s="287"/>
      <c r="K133" s="288"/>
    </row>
    <row r="134" spans="1:13" ht="15" customHeight="1" x14ac:dyDescent="0.25">
      <c r="A134" s="278" t="s">
        <v>151</v>
      </c>
      <c r="B134" s="278"/>
      <c r="C134" s="278"/>
      <c r="D134" s="278"/>
      <c r="E134" s="278"/>
      <c r="F134" s="278"/>
      <c r="G134" s="278"/>
      <c r="H134" s="281" t="s">
        <v>319</v>
      </c>
      <c r="I134" s="282"/>
      <c r="J134" s="278" t="s">
        <v>10</v>
      </c>
      <c r="K134" s="278"/>
      <c r="L134" s="11"/>
      <c r="M134" s="11"/>
    </row>
    <row r="135" spans="1:13" ht="15" customHeight="1" x14ac:dyDescent="0.25">
      <c r="A135" s="24" t="s">
        <v>2</v>
      </c>
      <c r="B135" s="276" t="s">
        <v>278</v>
      </c>
      <c r="C135" s="276"/>
      <c r="D135" s="276"/>
      <c r="E135" s="276"/>
      <c r="F135" s="276"/>
      <c r="G135" s="276"/>
      <c r="H135" s="283">
        <v>8.3299999999999999E-2</v>
      </c>
      <c r="I135" s="284"/>
      <c r="J135" s="277">
        <f>K38</f>
        <v>198.084068</v>
      </c>
      <c r="K135" s="277"/>
      <c r="L135" s="11"/>
      <c r="M135" s="11"/>
    </row>
    <row r="136" spans="1:13" ht="15" customHeight="1" x14ac:dyDescent="0.25">
      <c r="A136" s="24" t="s">
        <v>3</v>
      </c>
      <c r="B136" s="276" t="s">
        <v>279</v>
      </c>
      <c r="C136" s="276"/>
      <c r="D136" s="276"/>
      <c r="E136" s="276"/>
      <c r="F136" s="276"/>
      <c r="G136" s="276"/>
      <c r="H136" s="283">
        <v>0.121</v>
      </c>
      <c r="I136" s="284"/>
      <c r="J136" s="277">
        <f>K39</f>
        <v>287.73316</v>
      </c>
      <c r="K136" s="277"/>
      <c r="L136" s="11"/>
      <c r="M136" s="11"/>
    </row>
    <row r="137" spans="1:13" ht="15" customHeight="1" x14ac:dyDescent="0.25">
      <c r="A137" s="24" t="s">
        <v>4</v>
      </c>
      <c r="B137" s="276" t="s">
        <v>320</v>
      </c>
      <c r="C137" s="276"/>
      <c r="D137" s="276"/>
      <c r="E137" s="276"/>
      <c r="F137" s="276"/>
      <c r="G137" s="276"/>
      <c r="H137" s="283">
        <v>0.04</v>
      </c>
      <c r="I137" s="284"/>
      <c r="J137" s="277">
        <f>(J77+J80)*(J26+J27+J30)</f>
        <v>95.118400000000008</v>
      </c>
      <c r="K137" s="277"/>
      <c r="L137" s="11"/>
      <c r="M137" s="11"/>
    </row>
    <row r="138" spans="1:13" ht="15" customHeight="1" x14ac:dyDescent="0.25">
      <c r="A138" s="24" t="s">
        <v>5</v>
      </c>
      <c r="B138" s="276" t="s">
        <v>280</v>
      </c>
      <c r="C138" s="276"/>
      <c r="D138" s="276"/>
      <c r="E138" s="276"/>
      <c r="F138" s="276"/>
      <c r="G138" s="276"/>
      <c r="H138" s="283">
        <f>(0.368-0.03+J45)*0.2124</f>
        <v>7.8163200000000002E-2</v>
      </c>
      <c r="I138" s="284"/>
      <c r="J138" s="277">
        <f>(J51*(J40+0.81%))*K40</f>
        <v>37.973029155609602</v>
      </c>
      <c r="K138" s="277"/>
      <c r="L138" s="11"/>
      <c r="M138" s="11"/>
    </row>
    <row r="139" spans="1:13" ht="15" customHeight="1" x14ac:dyDescent="0.25">
      <c r="A139" s="278" t="s">
        <v>152</v>
      </c>
      <c r="B139" s="278"/>
      <c r="C139" s="278"/>
      <c r="D139" s="278"/>
      <c r="E139" s="278"/>
      <c r="F139" s="278"/>
      <c r="G139" s="278"/>
      <c r="H139" s="235" t="s">
        <v>323</v>
      </c>
      <c r="I139" s="236">
        <f>SUM(H135,H136,H137,H138)</f>
        <v>0.32246320000000001</v>
      </c>
      <c r="J139" s="395">
        <f>SUM(J135:K138)</f>
        <v>618.9086571556096</v>
      </c>
      <c r="K139" s="395"/>
      <c r="L139" s="11"/>
      <c r="M139" s="232"/>
    </row>
    <row r="140" spans="1:13" ht="15" customHeight="1" x14ac:dyDescent="0.25">
      <c r="K140" s="206">
        <f>J139</f>
        <v>618.9086571556096</v>
      </c>
      <c r="M140" s="54"/>
    </row>
  </sheetData>
  <mergeCells count="196">
    <mergeCell ref="A1:K1"/>
    <mergeCell ref="A2:K2"/>
    <mergeCell ref="C3:K3"/>
    <mergeCell ref="C4:D4"/>
    <mergeCell ref="A6:K6"/>
    <mergeCell ref="A7:K7"/>
    <mergeCell ref="J29:K29"/>
    <mergeCell ref="G11:K11"/>
    <mergeCell ref="A12:K12"/>
    <mergeCell ref="B13:G13"/>
    <mergeCell ref="J13:K13"/>
    <mergeCell ref="B14:G14"/>
    <mergeCell ref="J14:K14"/>
    <mergeCell ref="B8:F8"/>
    <mergeCell ref="G8:K8"/>
    <mergeCell ref="B9:F9"/>
    <mergeCell ref="G9:K9"/>
    <mergeCell ref="B10:F10"/>
    <mergeCell ref="G10:K10"/>
    <mergeCell ref="B20:G20"/>
    <mergeCell ref="J20:K20"/>
    <mergeCell ref="B21:G21"/>
    <mergeCell ref="J21:K21"/>
    <mergeCell ref="B22:G22"/>
    <mergeCell ref="J22:K22"/>
    <mergeCell ref="C15:K15"/>
    <mergeCell ref="A16:K16"/>
    <mergeCell ref="A17:K17"/>
    <mergeCell ref="A18:K18"/>
    <mergeCell ref="B19:G19"/>
    <mergeCell ref="J19:K19"/>
    <mergeCell ref="J27:K27"/>
    <mergeCell ref="F28:G28"/>
    <mergeCell ref="J28:K28"/>
    <mergeCell ref="B30:G30"/>
    <mergeCell ref="J30:K30"/>
    <mergeCell ref="B31:G31"/>
    <mergeCell ref="J31:K31"/>
    <mergeCell ref="B23:G23"/>
    <mergeCell ref="J23:K23"/>
    <mergeCell ref="A24:K24"/>
    <mergeCell ref="B25:G25"/>
    <mergeCell ref="J25:K25"/>
    <mergeCell ref="B26:G26"/>
    <mergeCell ref="J26:K26"/>
    <mergeCell ref="A34:G34"/>
    <mergeCell ref="J34:K34"/>
    <mergeCell ref="A35:K35"/>
    <mergeCell ref="A36:K36"/>
    <mergeCell ref="B37:G37"/>
    <mergeCell ref="B38:G38"/>
    <mergeCell ref="B32:G32"/>
    <mergeCell ref="J32:K32"/>
    <mergeCell ref="M32:U32"/>
    <mergeCell ref="B33:G33"/>
    <mergeCell ref="J33:K33"/>
    <mergeCell ref="M33:Q33"/>
    <mergeCell ref="B46:G46"/>
    <mergeCell ref="B47:G47"/>
    <mergeCell ref="B48:G48"/>
    <mergeCell ref="B49:G49"/>
    <mergeCell ref="B50:G50"/>
    <mergeCell ref="A51:G51"/>
    <mergeCell ref="B39:G39"/>
    <mergeCell ref="A41:K41"/>
    <mergeCell ref="B42:G42"/>
    <mergeCell ref="B43:G43"/>
    <mergeCell ref="B44:G44"/>
    <mergeCell ref="B45:G45"/>
    <mergeCell ref="M56:N56"/>
    <mergeCell ref="M57:N57"/>
    <mergeCell ref="B58:C58"/>
    <mergeCell ref="J58:K58"/>
    <mergeCell ref="A52:K52"/>
    <mergeCell ref="B53:G53"/>
    <mergeCell ref="J53:K53"/>
    <mergeCell ref="M53:N53"/>
    <mergeCell ref="A54:A55"/>
    <mergeCell ref="B54:B55"/>
    <mergeCell ref="J54:K54"/>
    <mergeCell ref="M54:N54"/>
    <mergeCell ref="J55:K55"/>
    <mergeCell ref="M55:N55"/>
    <mergeCell ref="B59:G59"/>
    <mergeCell ref="J59:K59"/>
    <mergeCell ref="B60:G60"/>
    <mergeCell ref="J60:K60"/>
    <mergeCell ref="J62:K62"/>
    <mergeCell ref="A63:G63"/>
    <mergeCell ref="J63:K63"/>
    <mergeCell ref="A56:A57"/>
    <mergeCell ref="B56:C57"/>
    <mergeCell ref="J56:K57"/>
    <mergeCell ref="B69:G69"/>
    <mergeCell ref="J69:K69"/>
    <mergeCell ref="B70:G70"/>
    <mergeCell ref="J70:K70"/>
    <mergeCell ref="A71:G71"/>
    <mergeCell ref="J71:K71"/>
    <mergeCell ref="A64:K64"/>
    <mergeCell ref="A65:K65"/>
    <mergeCell ref="A66:K66"/>
    <mergeCell ref="B67:G67"/>
    <mergeCell ref="J67:K67"/>
    <mergeCell ref="B68:G68"/>
    <mergeCell ref="J68:K68"/>
    <mergeCell ref="M77:AB77"/>
    <mergeCell ref="B78:G78"/>
    <mergeCell ref="M79:P79"/>
    <mergeCell ref="M80:Q80"/>
    <mergeCell ref="J81:K81"/>
    <mergeCell ref="A82:K82"/>
    <mergeCell ref="M82:AB82"/>
    <mergeCell ref="A72:K72"/>
    <mergeCell ref="A73:K73"/>
    <mergeCell ref="M73:P73"/>
    <mergeCell ref="M74:P74"/>
    <mergeCell ref="B75:G75"/>
    <mergeCell ref="M75:AC75"/>
    <mergeCell ref="A95:K95"/>
    <mergeCell ref="A96:K96"/>
    <mergeCell ref="A97:K97"/>
    <mergeCell ref="J98:K98"/>
    <mergeCell ref="J99:K99"/>
    <mergeCell ref="J100:K100"/>
    <mergeCell ref="A83:K83"/>
    <mergeCell ref="A84:K84"/>
    <mergeCell ref="M84:AP84"/>
    <mergeCell ref="B85:G85"/>
    <mergeCell ref="B92:G92"/>
    <mergeCell ref="A94:G94"/>
    <mergeCell ref="B105:G105"/>
    <mergeCell ref="J105:K105"/>
    <mergeCell ref="B106:G106"/>
    <mergeCell ref="J106:K106"/>
    <mergeCell ref="B107:G107"/>
    <mergeCell ref="J107:K107"/>
    <mergeCell ref="A101:K101"/>
    <mergeCell ref="A102:K102"/>
    <mergeCell ref="B103:G103"/>
    <mergeCell ref="J103:K103"/>
    <mergeCell ref="B104:G104"/>
    <mergeCell ref="J104:K104"/>
    <mergeCell ref="B113:G113"/>
    <mergeCell ref="B114:G114"/>
    <mergeCell ref="A115:B115"/>
    <mergeCell ref="C115:C116"/>
    <mergeCell ref="A116:B116"/>
    <mergeCell ref="A117:B117"/>
    <mergeCell ref="A108:G108"/>
    <mergeCell ref="J108:K108"/>
    <mergeCell ref="A109:K109"/>
    <mergeCell ref="A110:K110"/>
    <mergeCell ref="B111:G111"/>
    <mergeCell ref="B112:G112"/>
    <mergeCell ref="B123:G123"/>
    <mergeCell ref="J123:K123"/>
    <mergeCell ref="B124:G124"/>
    <mergeCell ref="J124:K124"/>
    <mergeCell ref="B125:G125"/>
    <mergeCell ref="J125:K125"/>
    <mergeCell ref="A118:G118"/>
    <mergeCell ref="A119:K119"/>
    <mergeCell ref="A120:K120"/>
    <mergeCell ref="A121:K121"/>
    <mergeCell ref="A122:G122"/>
    <mergeCell ref="J122:K122"/>
    <mergeCell ref="B129:G129"/>
    <mergeCell ref="J129:K129"/>
    <mergeCell ref="A130:G130"/>
    <mergeCell ref="J130:K130"/>
    <mergeCell ref="A132:K132"/>
    <mergeCell ref="A133:K133"/>
    <mergeCell ref="B126:G126"/>
    <mergeCell ref="J126:K126"/>
    <mergeCell ref="B127:G127"/>
    <mergeCell ref="J127:K127"/>
    <mergeCell ref="A128:G128"/>
    <mergeCell ref="J128:K128"/>
    <mergeCell ref="B137:G137"/>
    <mergeCell ref="J137:K137"/>
    <mergeCell ref="B138:G138"/>
    <mergeCell ref="J138:K138"/>
    <mergeCell ref="A139:G139"/>
    <mergeCell ref="J139:K139"/>
    <mergeCell ref="A134:G134"/>
    <mergeCell ref="J134:K134"/>
    <mergeCell ref="B135:G135"/>
    <mergeCell ref="J135:K135"/>
    <mergeCell ref="B136:G136"/>
    <mergeCell ref="J136:K136"/>
    <mergeCell ref="H134:I134"/>
    <mergeCell ref="H135:I135"/>
    <mergeCell ref="H136:I136"/>
    <mergeCell ref="H137:I137"/>
    <mergeCell ref="H138:I138"/>
  </mergeCells>
  <dataValidations disablePrompts="1" count="1">
    <dataValidation allowBlank="1" sqref="A1 A120" xr:uid="{7163BD0E-6845-4B24-9AB6-D110AF6D9E94}"/>
  </dataValidations>
  <printOptions horizontalCentered="1"/>
  <pageMargins left="7.874015748031496E-2" right="7.874015748031496E-2" top="1.7716535433070868" bottom="1.3779527559055118" header="0.31496062992125984" footer="0.31496062992125984"/>
  <pageSetup paperSize="9" scale="83" orientation="portrait" r:id="rId1"/>
  <rowBreaks count="2" manualBreakCount="2">
    <brk id="48" max="8" man="1"/>
    <brk id="101"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902F9-0D4A-4AC1-B90D-AA29D9FD2A94}">
  <sheetPr>
    <tabColor theme="9" tint="0.59999389629810485"/>
  </sheetPr>
  <dimension ref="A1:AP140"/>
  <sheetViews>
    <sheetView showGridLines="0" tabSelected="1" topLeftCell="A69" zoomScale="120" zoomScaleNormal="120" zoomScaleSheetLayoutView="100" workbookViewId="0">
      <selection activeCell="J93" sqref="J93"/>
    </sheetView>
  </sheetViews>
  <sheetFormatPr defaultRowHeight="15" customHeight="1" x14ac:dyDescent="0.25"/>
  <cols>
    <col min="1" max="1" width="3.140625" style="8" customWidth="1"/>
    <col min="2" max="2" width="16.5703125" style="7" customWidth="1"/>
    <col min="3" max="3" width="17.85546875" style="7" customWidth="1"/>
    <col min="4" max="4" width="11.85546875" style="7" customWidth="1"/>
    <col min="5" max="5" width="12.85546875" style="7" bestFit="1" customWidth="1"/>
    <col min="6" max="6" width="12.140625" style="7" customWidth="1"/>
    <col min="7" max="7" width="14.42578125" style="7" bestFit="1" customWidth="1"/>
    <col min="8" max="9" width="14.42578125" style="7" customWidth="1"/>
    <col min="10" max="10" width="10.28515625" style="7" customWidth="1"/>
    <col min="11" max="11" width="14.140625" style="7" bestFit="1" customWidth="1"/>
    <col min="12" max="12" width="8.42578125" style="6" customWidth="1"/>
    <col min="13" max="13" width="23.7109375" style="6" customWidth="1"/>
    <col min="14" max="14" width="17.140625" style="6" customWidth="1"/>
    <col min="15" max="15" width="11.28515625" style="6" bestFit="1" customWidth="1"/>
    <col min="16" max="16" width="10.5703125" style="6" bestFit="1" customWidth="1"/>
    <col min="17" max="18" width="9.140625" style="6"/>
    <col min="19" max="19" width="10" style="6" bestFit="1" customWidth="1"/>
    <col min="20" max="16384" width="9.140625" style="6"/>
  </cols>
  <sheetData>
    <row r="1" spans="1:13" ht="15" customHeight="1" x14ac:dyDescent="0.25">
      <c r="A1" s="380" t="s">
        <v>0</v>
      </c>
      <c r="B1" s="380"/>
      <c r="C1" s="380"/>
      <c r="D1" s="380"/>
      <c r="E1" s="380"/>
      <c r="F1" s="380"/>
      <c r="G1" s="380"/>
      <c r="H1" s="380"/>
      <c r="I1" s="380"/>
      <c r="J1" s="380"/>
      <c r="K1" s="380"/>
      <c r="L1" s="11"/>
      <c r="M1" s="11"/>
    </row>
    <row r="2" spans="1:13" ht="15" customHeight="1" x14ac:dyDescent="0.25">
      <c r="A2" s="309"/>
      <c r="B2" s="309"/>
      <c r="C2" s="309"/>
      <c r="D2" s="309"/>
      <c r="E2" s="309"/>
      <c r="F2" s="309"/>
      <c r="G2" s="309"/>
      <c r="H2" s="309"/>
      <c r="I2" s="309"/>
      <c r="J2" s="309"/>
      <c r="K2" s="309"/>
      <c r="L2" s="11"/>
      <c r="M2" s="11"/>
    </row>
    <row r="3" spans="1:13" ht="15" customHeight="1" x14ac:dyDescent="0.25">
      <c r="A3" s="15"/>
      <c r="B3" s="16" t="s">
        <v>1</v>
      </c>
      <c r="C3" s="381"/>
      <c r="D3" s="381"/>
      <c r="E3" s="381"/>
      <c r="F3" s="381"/>
      <c r="G3" s="381"/>
      <c r="H3" s="381"/>
      <c r="I3" s="381"/>
      <c r="J3" s="381"/>
      <c r="K3" s="381"/>
      <c r="L3" s="11"/>
      <c r="M3" s="11"/>
    </row>
    <row r="4" spans="1:13" ht="15" customHeight="1" x14ac:dyDescent="0.25">
      <c r="A4" s="15"/>
      <c r="B4" s="17" t="s">
        <v>125</v>
      </c>
      <c r="C4" s="382"/>
      <c r="D4" s="382"/>
      <c r="E4" s="17"/>
      <c r="F4" s="17"/>
      <c r="G4" s="17"/>
      <c r="H4" s="17"/>
      <c r="I4" s="17"/>
      <c r="J4" s="17"/>
      <c r="K4" s="17"/>
      <c r="L4" s="11"/>
      <c r="M4" s="11"/>
    </row>
    <row r="5" spans="1:13" ht="15" customHeight="1" x14ac:dyDescent="0.25">
      <c r="A5" s="15"/>
      <c r="B5" s="16" t="s">
        <v>124</v>
      </c>
      <c r="C5" s="18"/>
      <c r="D5" s="17"/>
      <c r="E5" s="17"/>
      <c r="F5" s="17"/>
      <c r="G5" s="17"/>
      <c r="H5" s="17"/>
      <c r="I5" s="17"/>
      <c r="J5" s="17"/>
      <c r="K5" s="17"/>
      <c r="L5" s="11"/>
      <c r="M5" s="11"/>
    </row>
    <row r="6" spans="1:13" ht="4.5" customHeight="1" x14ac:dyDescent="0.25">
      <c r="A6" s="309"/>
      <c r="B6" s="309"/>
      <c r="C6" s="309"/>
      <c r="D6" s="309"/>
      <c r="E6" s="309"/>
      <c r="F6" s="309"/>
      <c r="G6" s="309"/>
      <c r="H6" s="309"/>
      <c r="I6" s="309"/>
      <c r="J6" s="309"/>
      <c r="K6" s="309"/>
      <c r="L6" s="11"/>
      <c r="M6" s="11"/>
    </row>
    <row r="7" spans="1:13" ht="15" customHeight="1" x14ac:dyDescent="0.25">
      <c r="A7" s="377" t="s">
        <v>123</v>
      </c>
      <c r="B7" s="377"/>
      <c r="C7" s="377"/>
      <c r="D7" s="377"/>
      <c r="E7" s="377"/>
      <c r="F7" s="377"/>
      <c r="G7" s="377"/>
      <c r="H7" s="377"/>
      <c r="I7" s="377"/>
      <c r="J7" s="377"/>
      <c r="K7" s="377"/>
      <c r="L7" s="11"/>
      <c r="M7" s="11"/>
    </row>
    <row r="8" spans="1:13" ht="15" customHeight="1" x14ac:dyDescent="0.25">
      <c r="A8" s="19" t="s">
        <v>2</v>
      </c>
      <c r="B8" s="371" t="s">
        <v>122</v>
      </c>
      <c r="C8" s="371"/>
      <c r="D8" s="371"/>
      <c r="E8" s="371"/>
      <c r="F8" s="371"/>
      <c r="G8" s="385"/>
      <c r="H8" s="385"/>
      <c r="I8" s="385"/>
      <c r="J8" s="383"/>
      <c r="K8" s="383"/>
      <c r="L8" s="11"/>
      <c r="M8" s="11"/>
    </row>
    <row r="9" spans="1:13" ht="15" customHeight="1" x14ac:dyDescent="0.25">
      <c r="A9" s="19" t="s">
        <v>3</v>
      </c>
      <c r="B9" s="371" t="s">
        <v>121</v>
      </c>
      <c r="C9" s="371"/>
      <c r="D9" s="371"/>
      <c r="E9" s="371"/>
      <c r="F9" s="371"/>
      <c r="G9" s="386" t="s">
        <v>120</v>
      </c>
      <c r="H9" s="387"/>
      <c r="I9" s="387"/>
      <c r="J9" s="387"/>
      <c r="K9" s="388"/>
      <c r="L9" s="11"/>
      <c r="M9" s="11"/>
    </row>
    <row r="10" spans="1:13" ht="15" customHeight="1" x14ac:dyDescent="0.25">
      <c r="A10" s="20" t="s">
        <v>4</v>
      </c>
      <c r="B10" s="389" t="s">
        <v>119</v>
      </c>
      <c r="C10" s="390"/>
      <c r="D10" s="390"/>
      <c r="E10" s="390"/>
      <c r="F10" s="390"/>
      <c r="G10" s="383" t="s">
        <v>165</v>
      </c>
      <c r="H10" s="383"/>
      <c r="I10" s="383"/>
      <c r="J10" s="383"/>
      <c r="K10" s="383"/>
      <c r="L10" s="11"/>
      <c r="M10" s="11"/>
    </row>
    <row r="11" spans="1:13" ht="15" customHeight="1" x14ac:dyDescent="0.25">
      <c r="A11" s="19" t="s">
        <v>5</v>
      </c>
      <c r="B11" s="21" t="s">
        <v>6</v>
      </c>
      <c r="C11" s="22"/>
      <c r="D11" s="22"/>
      <c r="E11" s="22"/>
      <c r="F11" s="22"/>
      <c r="G11" s="383">
        <v>30</v>
      </c>
      <c r="H11" s="383"/>
      <c r="I11" s="383"/>
      <c r="J11" s="383"/>
      <c r="K11" s="383"/>
      <c r="L11" s="11"/>
      <c r="M11" s="11"/>
    </row>
    <row r="12" spans="1:13" ht="15" customHeight="1" x14ac:dyDescent="0.25">
      <c r="A12" s="377" t="s">
        <v>7</v>
      </c>
      <c r="B12" s="377"/>
      <c r="C12" s="377"/>
      <c r="D12" s="377"/>
      <c r="E12" s="377"/>
      <c r="F12" s="377"/>
      <c r="G12" s="377"/>
      <c r="H12" s="377"/>
      <c r="I12" s="377"/>
      <c r="J12" s="377"/>
      <c r="K12" s="377"/>
      <c r="L12" s="11"/>
      <c r="M12" s="11"/>
    </row>
    <row r="13" spans="1:13" ht="15" customHeight="1" x14ac:dyDescent="0.25">
      <c r="A13" s="19">
        <v>1</v>
      </c>
      <c r="B13" s="371" t="s">
        <v>8</v>
      </c>
      <c r="C13" s="371"/>
      <c r="D13" s="371"/>
      <c r="E13" s="371"/>
      <c r="F13" s="371"/>
      <c r="G13" s="371"/>
      <c r="H13" s="225"/>
      <c r="I13" s="225"/>
      <c r="J13" s="383" t="s">
        <v>9</v>
      </c>
      <c r="K13" s="383"/>
      <c r="L13" s="11"/>
      <c r="M13" s="11"/>
    </row>
    <row r="14" spans="1:13" ht="15" customHeight="1" x14ac:dyDescent="0.25">
      <c r="A14" s="19">
        <v>2</v>
      </c>
      <c r="B14" s="371" t="s">
        <v>118</v>
      </c>
      <c r="C14" s="371"/>
      <c r="D14" s="371"/>
      <c r="E14" s="371"/>
      <c r="F14" s="371"/>
      <c r="G14" s="371"/>
      <c r="H14" s="225"/>
      <c r="I14" s="225"/>
      <c r="J14" s="384">
        <v>1</v>
      </c>
      <c r="K14" s="384"/>
      <c r="L14" s="11"/>
      <c r="M14" s="11"/>
    </row>
    <row r="15" spans="1:13" ht="15" customHeight="1" x14ac:dyDescent="0.25">
      <c r="A15" s="19">
        <v>3</v>
      </c>
      <c r="B15" s="21" t="s">
        <v>117</v>
      </c>
      <c r="C15" s="376" t="s">
        <v>178</v>
      </c>
      <c r="D15" s="376"/>
      <c r="E15" s="376"/>
      <c r="F15" s="376"/>
      <c r="G15" s="376"/>
      <c r="H15" s="376"/>
      <c r="I15" s="376"/>
      <c r="J15" s="376"/>
      <c r="K15" s="376"/>
      <c r="L15" s="11"/>
      <c r="M15" s="11"/>
    </row>
    <row r="16" spans="1:13" ht="15" customHeight="1" x14ac:dyDescent="0.25">
      <c r="A16" s="309"/>
      <c r="B16" s="309"/>
      <c r="C16" s="309"/>
      <c r="D16" s="309"/>
      <c r="E16" s="309"/>
      <c r="F16" s="309"/>
      <c r="G16" s="309"/>
      <c r="H16" s="309"/>
      <c r="I16" s="309"/>
      <c r="J16" s="309"/>
      <c r="K16" s="309"/>
      <c r="L16" s="11"/>
      <c r="M16" s="11"/>
    </row>
    <row r="17" spans="1:21" ht="15" customHeight="1" x14ac:dyDescent="0.25">
      <c r="A17" s="377" t="s">
        <v>116</v>
      </c>
      <c r="B17" s="377"/>
      <c r="C17" s="377"/>
      <c r="D17" s="377"/>
      <c r="E17" s="377"/>
      <c r="F17" s="377"/>
      <c r="G17" s="377"/>
      <c r="H17" s="377"/>
      <c r="I17" s="377"/>
      <c r="J17" s="377"/>
      <c r="K17" s="377"/>
      <c r="L17" s="11"/>
      <c r="M17" s="11"/>
    </row>
    <row r="18" spans="1:21" ht="15" customHeight="1" x14ac:dyDescent="0.25">
      <c r="A18" s="308" t="s">
        <v>115</v>
      </c>
      <c r="B18" s="308"/>
      <c r="C18" s="308"/>
      <c r="D18" s="308"/>
      <c r="E18" s="308"/>
      <c r="F18" s="308"/>
      <c r="G18" s="308"/>
      <c r="H18" s="308"/>
      <c r="I18" s="308"/>
      <c r="J18" s="308"/>
      <c r="K18" s="308"/>
      <c r="L18" s="11"/>
      <c r="M18" s="11"/>
    </row>
    <row r="19" spans="1:21" x14ac:dyDescent="0.25">
      <c r="A19" s="23">
        <v>1</v>
      </c>
      <c r="B19" s="352" t="s">
        <v>114</v>
      </c>
      <c r="C19" s="352"/>
      <c r="D19" s="352"/>
      <c r="E19" s="352"/>
      <c r="F19" s="352"/>
      <c r="G19" s="352"/>
      <c r="H19" s="221"/>
      <c r="I19" s="221"/>
      <c r="J19" s="374" t="s">
        <v>281</v>
      </c>
      <c r="K19" s="375"/>
      <c r="L19" s="11"/>
      <c r="M19" s="11"/>
    </row>
    <row r="20" spans="1:21" ht="15" customHeight="1" x14ac:dyDescent="0.25">
      <c r="A20" s="23">
        <v>2</v>
      </c>
      <c r="B20" s="352" t="s">
        <v>113</v>
      </c>
      <c r="C20" s="352"/>
      <c r="D20" s="352"/>
      <c r="E20" s="352"/>
      <c r="F20" s="352"/>
      <c r="G20" s="352"/>
      <c r="H20" s="221"/>
      <c r="I20" s="221"/>
      <c r="J20" s="391">
        <v>517330</v>
      </c>
      <c r="K20" s="392"/>
      <c r="L20" s="11"/>
    </row>
    <row r="21" spans="1:21" ht="15" customHeight="1" x14ac:dyDescent="0.25">
      <c r="A21" s="23">
        <v>3</v>
      </c>
      <c r="B21" s="352" t="s">
        <v>112</v>
      </c>
      <c r="C21" s="352"/>
      <c r="D21" s="352"/>
      <c r="E21" s="352"/>
      <c r="F21" s="352"/>
      <c r="G21" s="352"/>
      <c r="H21" s="221"/>
      <c r="I21" s="221"/>
      <c r="J21" s="393">
        <f>1829.2</f>
        <v>1829.2</v>
      </c>
      <c r="K21" s="394"/>
      <c r="L21" s="11"/>
      <c r="M21" s="193"/>
    </row>
    <row r="22" spans="1:21" x14ac:dyDescent="0.25">
      <c r="A22" s="23">
        <v>4</v>
      </c>
      <c r="B22" s="352" t="s">
        <v>111</v>
      </c>
      <c r="C22" s="352"/>
      <c r="D22" s="352"/>
      <c r="E22" s="352"/>
      <c r="F22" s="352"/>
      <c r="G22" s="352"/>
      <c r="H22" s="221"/>
      <c r="I22" s="221"/>
      <c r="J22" s="374"/>
      <c r="K22" s="375"/>
      <c r="L22" s="11"/>
      <c r="M22" s="11"/>
    </row>
    <row r="23" spans="1:21" ht="15" customHeight="1" x14ac:dyDescent="0.25">
      <c r="A23" s="23">
        <v>5</v>
      </c>
      <c r="B23" s="352" t="s">
        <v>110</v>
      </c>
      <c r="C23" s="352"/>
      <c r="D23" s="352"/>
      <c r="E23" s="352"/>
      <c r="F23" s="352"/>
      <c r="G23" s="352"/>
      <c r="H23" s="221"/>
      <c r="I23" s="221"/>
      <c r="J23" s="367">
        <v>45292</v>
      </c>
      <c r="K23" s="368"/>
      <c r="L23" s="11"/>
      <c r="M23" s="11"/>
    </row>
    <row r="24" spans="1:21" ht="15" customHeight="1" x14ac:dyDescent="0.25">
      <c r="A24" s="286" t="s">
        <v>109</v>
      </c>
      <c r="B24" s="287"/>
      <c r="C24" s="287"/>
      <c r="D24" s="287"/>
      <c r="E24" s="287"/>
      <c r="F24" s="287"/>
      <c r="G24" s="287"/>
      <c r="H24" s="287"/>
      <c r="I24" s="287"/>
      <c r="J24" s="287"/>
      <c r="K24" s="288"/>
      <c r="L24" s="11"/>
      <c r="M24" s="11"/>
    </row>
    <row r="25" spans="1:21" ht="15" customHeight="1" x14ac:dyDescent="0.25">
      <c r="A25" s="40">
        <v>1</v>
      </c>
      <c r="B25" s="307" t="s">
        <v>108</v>
      </c>
      <c r="C25" s="307"/>
      <c r="D25" s="307"/>
      <c r="E25" s="307"/>
      <c r="F25" s="307"/>
      <c r="G25" s="307"/>
      <c r="H25" s="218"/>
      <c r="I25" s="218"/>
      <c r="J25" s="369" t="s">
        <v>10</v>
      </c>
      <c r="K25" s="370"/>
      <c r="L25" s="11"/>
      <c r="M25" s="11"/>
    </row>
    <row r="26" spans="1:21" ht="15" customHeight="1" x14ac:dyDescent="0.25">
      <c r="A26" s="23" t="s">
        <v>2</v>
      </c>
      <c r="B26" s="371" t="s">
        <v>164</v>
      </c>
      <c r="C26" s="371"/>
      <c r="D26" s="371"/>
      <c r="E26" s="371"/>
      <c r="F26" s="371"/>
      <c r="G26" s="371"/>
      <c r="H26" s="226"/>
      <c r="I26" s="226"/>
      <c r="J26" s="372">
        <f>J21</f>
        <v>1829.2</v>
      </c>
      <c r="K26" s="373"/>
      <c r="L26" s="11"/>
      <c r="M26" s="11"/>
    </row>
    <row r="27" spans="1:21" ht="15" customHeight="1" x14ac:dyDescent="0.25">
      <c r="A27" s="24" t="s">
        <v>3</v>
      </c>
      <c r="B27" s="25" t="s">
        <v>107</v>
      </c>
      <c r="C27" s="26"/>
      <c r="D27" s="27" t="s">
        <v>105</v>
      </c>
      <c r="E27" s="27" t="s">
        <v>87</v>
      </c>
      <c r="F27" s="26"/>
      <c r="G27" s="28"/>
      <c r="H27" s="26"/>
      <c r="I27" s="26"/>
      <c r="J27" s="372">
        <f>IF(E27="N",0,J26*0.3)</f>
        <v>548.76</v>
      </c>
      <c r="K27" s="373"/>
      <c r="L27" s="11"/>
      <c r="M27" s="11"/>
    </row>
    <row r="28" spans="1:21" ht="15" customHeight="1" x14ac:dyDescent="0.25">
      <c r="A28" s="24" t="s">
        <v>4</v>
      </c>
      <c r="B28" s="25" t="s">
        <v>106</v>
      </c>
      <c r="C28" s="26"/>
      <c r="D28" s="27" t="s">
        <v>105</v>
      </c>
      <c r="E28" s="27" t="s">
        <v>104</v>
      </c>
      <c r="F28" s="378"/>
      <c r="G28" s="379"/>
      <c r="H28" s="227"/>
      <c r="I28" s="227"/>
      <c r="J28" s="358"/>
      <c r="K28" s="359"/>
      <c r="L28" s="11"/>
      <c r="M28" s="11"/>
      <c r="P28" s="54"/>
    </row>
    <row r="29" spans="1:21" ht="15" customHeight="1" x14ac:dyDescent="0.25">
      <c r="A29" s="23" t="s">
        <v>5</v>
      </c>
      <c r="B29" s="361" t="s">
        <v>305</v>
      </c>
      <c r="C29" s="362"/>
      <c r="D29" s="362"/>
      <c r="E29" s="362"/>
      <c r="F29" s="362"/>
      <c r="G29" s="363"/>
      <c r="H29" s="195"/>
      <c r="I29" s="195"/>
      <c r="J29" s="358">
        <f>(J26+J27)/220*0.2*105</f>
        <v>226.98709090909091</v>
      </c>
      <c r="K29" s="359"/>
      <c r="L29" s="11"/>
      <c r="M29" s="11"/>
    </row>
    <row r="30" spans="1:21" ht="15" customHeight="1" x14ac:dyDescent="0.25">
      <c r="A30" s="23" t="s">
        <v>11</v>
      </c>
      <c r="B30" s="194" t="s">
        <v>102</v>
      </c>
      <c r="C30" s="195"/>
      <c r="D30" s="195"/>
      <c r="E30" s="195"/>
      <c r="F30" s="195"/>
      <c r="G30" s="196"/>
      <c r="H30" s="195"/>
      <c r="I30" s="195"/>
      <c r="J30" s="396">
        <f>(((J26+J27)/220)*1.2)*15</f>
        <v>194.56036363636366</v>
      </c>
      <c r="K30" s="314"/>
      <c r="L30" s="11"/>
      <c r="M30" s="11"/>
    </row>
    <row r="31" spans="1:21" ht="15" customHeight="1" x14ac:dyDescent="0.25">
      <c r="A31" s="19" t="s">
        <v>12</v>
      </c>
      <c r="B31" s="366" t="s">
        <v>101</v>
      </c>
      <c r="C31" s="366"/>
      <c r="D31" s="366"/>
      <c r="E31" s="366"/>
      <c r="F31" s="366"/>
      <c r="G31" s="366"/>
      <c r="H31" s="194"/>
      <c r="I31" s="194"/>
      <c r="J31" s="304"/>
      <c r="K31" s="305"/>
      <c r="L31" s="11"/>
      <c r="M31" s="11"/>
    </row>
    <row r="32" spans="1:21" ht="15" customHeight="1" x14ac:dyDescent="0.25">
      <c r="A32" s="107" t="s">
        <v>23</v>
      </c>
      <c r="B32" s="355" t="s">
        <v>175</v>
      </c>
      <c r="C32" s="356"/>
      <c r="D32" s="356"/>
      <c r="E32" s="356"/>
      <c r="F32" s="356"/>
      <c r="G32" s="357"/>
      <c r="H32" s="224"/>
      <c r="I32" s="224"/>
      <c r="J32" s="397"/>
      <c r="K32" s="398"/>
      <c r="M32" s="360"/>
      <c r="N32" s="360"/>
      <c r="O32" s="360"/>
      <c r="P32" s="360"/>
      <c r="Q32" s="360"/>
      <c r="R32" s="360"/>
      <c r="S32" s="360"/>
      <c r="T32" s="360"/>
      <c r="U32" s="360"/>
    </row>
    <row r="33" spans="1:19" ht="15" customHeight="1" x14ac:dyDescent="0.25">
      <c r="A33" s="19" t="s">
        <v>24</v>
      </c>
      <c r="B33" s="361" t="s">
        <v>330</v>
      </c>
      <c r="C33" s="362"/>
      <c r="D33" s="362"/>
      <c r="E33" s="362"/>
      <c r="F33" s="362"/>
      <c r="G33" s="363"/>
      <c r="H33" s="195"/>
      <c r="I33" s="195"/>
      <c r="J33" s="364"/>
      <c r="K33" s="365"/>
      <c r="L33" s="11"/>
      <c r="M33" s="320"/>
      <c r="N33" s="320"/>
      <c r="O33" s="320"/>
      <c r="P33" s="320"/>
      <c r="Q33" s="320"/>
    </row>
    <row r="34" spans="1:19" ht="15" customHeight="1" x14ac:dyDescent="0.25">
      <c r="A34" s="308" t="s">
        <v>99</v>
      </c>
      <c r="B34" s="308"/>
      <c r="C34" s="308"/>
      <c r="D34" s="308"/>
      <c r="E34" s="308"/>
      <c r="F34" s="308"/>
      <c r="G34" s="308"/>
      <c r="H34" s="217"/>
      <c r="I34" s="217"/>
      <c r="J34" s="353">
        <f>SUM(J26:K33)</f>
        <v>2799.5074545454545</v>
      </c>
      <c r="K34" s="354"/>
      <c r="L34" s="11"/>
      <c r="M34" s="11"/>
    </row>
    <row r="35" spans="1:19" ht="15" customHeight="1" x14ac:dyDescent="0.25">
      <c r="A35" s="286" t="s">
        <v>98</v>
      </c>
      <c r="B35" s="287"/>
      <c r="C35" s="287"/>
      <c r="D35" s="287"/>
      <c r="E35" s="287"/>
      <c r="F35" s="287"/>
      <c r="G35" s="287"/>
      <c r="H35" s="287"/>
      <c r="I35" s="287"/>
      <c r="J35" s="287"/>
      <c r="K35" s="288"/>
      <c r="L35" s="11"/>
      <c r="M35" s="11"/>
      <c r="S35" s="52"/>
    </row>
    <row r="36" spans="1:19" ht="15" customHeight="1" x14ac:dyDescent="0.25">
      <c r="A36" s="307" t="s">
        <v>162</v>
      </c>
      <c r="B36" s="307"/>
      <c r="C36" s="307"/>
      <c r="D36" s="307"/>
      <c r="E36" s="307"/>
      <c r="F36" s="307"/>
      <c r="G36" s="307"/>
      <c r="H36" s="307"/>
      <c r="I36" s="307"/>
      <c r="J36" s="307"/>
      <c r="K36" s="307"/>
      <c r="L36" s="11"/>
      <c r="M36" s="11"/>
      <c r="N36" s="58"/>
    </row>
    <row r="37" spans="1:19" ht="15" customHeight="1" x14ac:dyDescent="0.25">
      <c r="A37" s="40" t="s">
        <v>85</v>
      </c>
      <c r="B37" s="321" t="s">
        <v>163</v>
      </c>
      <c r="C37" s="322"/>
      <c r="D37" s="322"/>
      <c r="E37" s="322"/>
      <c r="F37" s="322"/>
      <c r="G37" s="323"/>
      <c r="H37" s="219"/>
      <c r="I37" s="219"/>
      <c r="J37" s="40" t="s">
        <v>64</v>
      </c>
      <c r="K37" s="43" t="s">
        <v>10</v>
      </c>
      <c r="L37" s="11"/>
      <c r="M37" s="11"/>
      <c r="P37" s="56"/>
    </row>
    <row r="38" spans="1:19" ht="15" customHeight="1" x14ac:dyDescent="0.25">
      <c r="A38" s="23" t="s">
        <v>2</v>
      </c>
      <c r="B38" s="324" t="s">
        <v>97</v>
      </c>
      <c r="C38" s="325"/>
      <c r="D38" s="325"/>
      <c r="E38" s="325"/>
      <c r="F38" s="325"/>
      <c r="G38" s="326"/>
      <c r="H38" s="222"/>
      <c r="I38" s="222"/>
      <c r="J38" s="61">
        <v>8.3299999999999999E-2</v>
      </c>
      <c r="K38" s="30">
        <f>(J26+J27+J29+J30)*J38</f>
        <v>233.19897096363636</v>
      </c>
      <c r="L38" s="11"/>
      <c r="M38" s="12"/>
      <c r="N38" s="57"/>
      <c r="O38" s="57"/>
      <c r="P38" s="56"/>
      <c r="Q38" s="9"/>
    </row>
    <row r="39" spans="1:19" ht="15" customHeight="1" x14ac:dyDescent="0.25">
      <c r="A39" s="23" t="s">
        <v>3</v>
      </c>
      <c r="B39" s="324" t="s">
        <v>161</v>
      </c>
      <c r="C39" s="325"/>
      <c r="D39" s="325"/>
      <c r="E39" s="325"/>
      <c r="F39" s="325"/>
      <c r="G39" s="326"/>
      <c r="H39" s="222"/>
      <c r="I39" s="222"/>
      <c r="J39" s="61">
        <v>0.121</v>
      </c>
      <c r="K39" s="30">
        <f>(J26+J27+J29+J30)*J39</f>
        <v>338.74040199999996</v>
      </c>
      <c r="L39" s="11"/>
      <c r="M39" s="12"/>
      <c r="N39" s="57"/>
      <c r="O39" s="57"/>
      <c r="P39" s="56"/>
      <c r="Q39" s="9"/>
    </row>
    <row r="40" spans="1:19" ht="15" customHeight="1" x14ac:dyDescent="0.25">
      <c r="A40" s="60" t="s">
        <v>68</v>
      </c>
      <c r="B40" s="59"/>
      <c r="C40" s="59"/>
      <c r="D40" s="59"/>
      <c r="E40" s="59"/>
      <c r="F40" s="59"/>
      <c r="G40" s="59"/>
      <c r="H40" s="59"/>
      <c r="I40" s="59"/>
      <c r="J40" s="66">
        <f>SUM(J38:J39)</f>
        <v>0.20429999999999998</v>
      </c>
      <c r="K40" s="65">
        <f>SUM(K38:K39)</f>
        <v>571.93937296363629</v>
      </c>
      <c r="L40" s="11"/>
      <c r="M40" s="11"/>
      <c r="N40" s="52"/>
      <c r="P40" s="52"/>
    </row>
    <row r="41" spans="1:19" ht="15" customHeight="1" x14ac:dyDescent="0.25">
      <c r="A41" s="307" t="s">
        <v>96</v>
      </c>
      <c r="B41" s="307"/>
      <c r="C41" s="307"/>
      <c r="D41" s="307"/>
      <c r="E41" s="307"/>
      <c r="F41" s="307"/>
      <c r="G41" s="307"/>
      <c r="H41" s="307"/>
      <c r="I41" s="307"/>
      <c r="J41" s="307"/>
      <c r="K41" s="307"/>
      <c r="L41" s="11"/>
      <c r="M41" s="11"/>
    </row>
    <row r="42" spans="1:19" ht="15" customHeight="1" x14ac:dyDescent="0.25">
      <c r="A42" s="40" t="s">
        <v>83</v>
      </c>
      <c r="B42" s="307" t="s">
        <v>82</v>
      </c>
      <c r="C42" s="307"/>
      <c r="D42" s="307"/>
      <c r="E42" s="307"/>
      <c r="F42" s="307"/>
      <c r="G42" s="307"/>
      <c r="H42" s="215"/>
      <c r="I42" s="215"/>
      <c r="J42" s="40" t="s">
        <v>64</v>
      </c>
      <c r="K42" s="43" t="s">
        <v>10</v>
      </c>
      <c r="L42" s="11"/>
      <c r="M42" s="11"/>
      <c r="P42" s="52"/>
    </row>
    <row r="43" spans="1:19" ht="15" customHeight="1" x14ac:dyDescent="0.25">
      <c r="A43" s="23" t="s">
        <v>2</v>
      </c>
      <c r="B43" s="352" t="s">
        <v>18</v>
      </c>
      <c r="C43" s="352"/>
      <c r="D43" s="352"/>
      <c r="E43" s="352"/>
      <c r="F43" s="352"/>
      <c r="G43" s="352"/>
      <c r="H43" s="223"/>
      <c r="I43" s="223"/>
      <c r="J43" s="31">
        <v>0.2</v>
      </c>
      <c r="K43" s="32">
        <f>((J26+J27+J29+J30)+$K$40)*J43</f>
        <v>674.28936550181822</v>
      </c>
      <c r="L43" s="11"/>
      <c r="M43" s="11"/>
      <c r="R43" s="54"/>
    </row>
    <row r="44" spans="1:19" ht="15" customHeight="1" x14ac:dyDescent="0.25">
      <c r="A44" s="23" t="s">
        <v>3</v>
      </c>
      <c r="B44" s="352" t="s">
        <v>21</v>
      </c>
      <c r="C44" s="352"/>
      <c r="D44" s="352"/>
      <c r="E44" s="352"/>
      <c r="F44" s="352"/>
      <c r="G44" s="352"/>
      <c r="H44" s="223"/>
      <c r="I44" s="223"/>
      <c r="J44" s="31">
        <v>2.5000000000000001E-2</v>
      </c>
      <c r="K44" s="32">
        <f>((J26+J27+J29+J30)+$K$40)*J44</f>
        <v>84.286170687727278</v>
      </c>
      <c r="L44" s="11"/>
      <c r="M44" s="11"/>
      <c r="Q44" s="52"/>
    </row>
    <row r="45" spans="1:19" ht="15" customHeight="1" x14ac:dyDescent="0.25">
      <c r="A45" s="33" t="s">
        <v>4</v>
      </c>
      <c r="B45" s="352" t="s">
        <v>126</v>
      </c>
      <c r="C45" s="352"/>
      <c r="D45" s="352"/>
      <c r="E45" s="352"/>
      <c r="F45" s="352"/>
      <c r="G45" s="352"/>
      <c r="H45" s="222"/>
      <c r="I45" s="222"/>
      <c r="J45" s="49">
        <v>0.03</v>
      </c>
      <c r="K45" s="32">
        <f>((J26+J27+J29+J30)+$K$40)*J45</f>
        <v>101.14340482527273</v>
      </c>
      <c r="L45" s="11"/>
      <c r="M45" s="11"/>
      <c r="N45" s="203"/>
    </row>
    <row r="46" spans="1:19" ht="15" customHeight="1" x14ac:dyDescent="0.25">
      <c r="A46" s="33" t="s">
        <v>5</v>
      </c>
      <c r="B46" s="352" t="s">
        <v>95</v>
      </c>
      <c r="C46" s="352"/>
      <c r="D46" s="352"/>
      <c r="E46" s="352"/>
      <c r="F46" s="352"/>
      <c r="G46" s="352"/>
      <c r="H46" s="223"/>
      <c r="I46" s="223"/>
      <c r="J46" s="31">
        <v>1.4999999999999999E-2</v>
      </c>
      <c r="K46" s="32">
        <f>((J26+J27+J29+J30)+$K$40)*J46</f>
        <v>50.571702412636363</v>
      </c>
      <c r="L46" s="11"/>
      <c r="M46" s="11"/>
      <c r="N46" s="202"/>
    </row>
    <row r="47" spans="1:19" ht="15" customHeight="1" x14ac:dyDescent="0.25">
      <c r="A47" s="23" t="s">
        <v>11</v>
      </c>
      <c r="B47" s="352" t="s">
        <v>19</v>
      </c>
      <c r="C47" s="352"/>
      <c r="D47" s="352"/>
      <c r="E47" s="352"/>
      <c r="F47" s="352"/>
      <c r="G47" s="352"/>
      <c r="H47" s="228"/>
      <c r="I47" s="228"/>
      <c r="J47" s="50">
        <v>0.01</v>
      </c>
      <c r="K47" s="32">
        <f>((J26+J27+J29+J30)+$K$40)*J47</f>
        <v>33.714468275090908</v>
      </c>
      <c r="L47" s="11"/>
      <c r="M47" s="11"/>
    </row>
    <row r="48" spans="1:19" ht="15" customHeight="1" x14ac:dyDescent="0.25">
      <c r="A48" s="23" t="s">
        <v>12</v>
      </c>
      <c r="B48" s="352" t="s">
        <v>25</v>
      </c>
      <c r="C48" s="352"/>
      <c r="D48" s="352"/>
      <c r="E48" s="352"/>
      <c r="F48" s="352"/>
      <c r="G48" s="352"/>
      <c r="H48" s="223"/>
      <c r="I48" s="223"/>
      <c r="J48" s="31">
        <v>6.0000000000000001E-3</v>
      </c>
      <c r="K48" s="32">
        <f>((J26+J27+J29+J30)+$K$40)*J48</f>
        <v>20.228680965054544</v>
      </c>
      <c r="L48" s="11"/>
      <c r="M48" s="11"/>
    </row>
    <row r="49" spans="1:17" ht="15" customHeight="1" x14ac:dyDescent="0.25">
      <c r="A49" s="23" t="s">
        <v>23</v>
      </c>
      <c r="B49" s="352" t="s">
        <v>20</v>
      </c>
      <c r="C49" s="352"/>
      <c r="D49" s="352"/>
      <c r="E49" s="352"/>
      <c r="F49" s="352"/>
      <c r="G49" s="352"/>
      <c r="H49" s="223"/>
      <c r="I49" s="223"/>
      <c r="J49" s="31">
        <v>2E-3</v>
      </c>
      <c r="K49" s="32">
        <f>((J26+J27+J29+J30)+$K$40)*J49</f>
        <v>6.7428936550181815</v>
      </c>
      <c r="L49" s="11"/>
      <c r="M49" s="11"/>
    </row>
    <row r="50" spans="1:17" ht="15" customHeight="1" x14ac:dyDescent="0.25">
      <c r="A50" s="23" t="s">
        <v>24</v>
      </c>
      <c r="B50" s="352" t="s">
        <v>22</v>
      </c>
      <c r="C50" s="352"/>
      <c r="D50" s="352"/>
      <c r="E50" s="352"/>
      <c r="F50" s="352"/>
      <c r="G50" s="352"/>
      <c r="H50" s="228"/>
      <c r="I50" s="228"/>
      <c r="J50" s="50">
        <v>0.08</v>
      </c>
      <c r="K50" s="32">
        <f>((J26+J27+J29+J30)+$K$40)*J50</f>
        <v>269.71574620072727</v>
      </c>
      <c r="L50" s="11"/>
      <c r="M50" s="11"/>
    </row>
    <row r="51" spans="1:17" ht="15" customHeight="1" x14ac:dyDescent="0.25">
      <c r="A51" s="308" t="s">
        <v>37</v>
      </c>
      <c r="B51" s="308"/>
      <c r="C51" s="308"/>
      <c r="D51" s="308"/>
      <c r="E51" s="308"/>
      <c r="F51" s="308"/>
      <c r="G51" s="308"/>
      <c r="H51" s="40"/>
      <c r="I51" s="40"/>
      <c r="J51" s="45">
        <f>SUM(J43:J50)</f>
        <v>0.36800000000000005</v>
      </c>
      <c r="K51" s="44">
        <f>SUM(K43:K50)</f>
        <v>1240.6924325233454</v>
      </c>
      <c r="L51" s="11"/>
      <c r="M51" s="11"/>
    </row>
    <row r="52" spans="1:17" ht="15" customHeight="1" x14ac:dyDescent="0.25">
      <c r="A52" s="317" t="s">
        <v>94</v>
      </c>
      <c r="B52" s="318"/>
      <c r="C52" s="318"/>
      <c r="D52" s="318"/>
      <c r="E52" s="318"/>
      <c r="F52" s="318"/>
      <c r="G52" s="318"/>
      <c r="H52" s="318"/>
      <c r="I52" s="318"/>
      <c r="J52" s="318"/>
      <c r="K52" s="319"/>
      <c r="L52" s="11"/>
    </row>
    <row r="53" spans="1:17" ht="15" customHeight="1" x14ac:dyDescent="0.25">
      <c r="A53" s="40" t="s">
        <v>81</v>
      </c>
      <c r="B53" s="307" t="s">
        <v>80</v>
      </c>
      <c r="C53" s="307"/>
      <c r="D53" s="307"/>
      <c r="E53" s="307"/>
      <c r="F53" s="307"/>
      <c r="G53" s="307"/>
      <c r="H53" s="215"/>
      <c r="I53" s="215"/>
      <c r="J53" s="308" t="s">
        <v>10</v>
      </c>
      <c r="K53" s="308"/>
      <c r="L53" s="11"/>
      <c r="M53" s="347" t="s">
        <v>177</v>
      </c>
      <c r="N53" s="347"/>
    </row>
    <row r="54" spans="1:17" ht="15" customHeight="1" x14ac:dyDescent="0.25">
      <c r="A54" s="336" t="s">
        <v>2</v>
      </c>
      <c r="B54" s="336" t="s">
        <v>93</v>
      </c>
      <c r="C54" s="23" t="s">
        <v>91</v>
      </c>
      <c r="D54" s="23" t="s">
        <v>176</v>
      </c>
      <c r="E54" s="23" t="s">
        <v>92</v>
      </c>
      <c r="F54" s="23" t="s">
        <v>89</v>
      </c>
      <c r="G54" s="23" t="s">
        <v>88</v>
      </c>
      <c r="H54" s="229"/>
      <c r="I54" s="229"/>
      <c r="J54" s="348">
        <f>D55*E55*F55</f>
        <v>256.5</v>
      </c>
      <c r="K54" s="349"/>
      <c r="L54" s="11"/>
      <c r="M54" s="346" t="s">
        <v>157</v>
      </c>
      <c r="N54" s="346"/>
    </row>
    <row r="55" spans="1:17" ht="15" customHeight="1" x14ac:dyDescent="0.25">
      <c r="A55" s="337"/>
      <c r="B55" s="337"/>
      <c r="C55" s="23" t="s">
        <v>87</v>
      </c>
      <c r="D55" s="29">
        <v>8.5500000000000007</v>
      </c>
      <c r="E55" s="23">
        <v>2</v>
      </c>
      <c r="F55" s="23">
        <v>15</v>
      </c>
      <c r="G55" s="29">
        <f>J26*0.06</f>
        <v>109.752</v>
      </c>
      <c r="H55" s="230"/>
      <c r="I55" s="230"/>
      <c r="J55" s="350">
        <f>D55*E55*F55-G55</f>
        <v>146.74799999999999</v>
      </c>
      <c r="K55" s="351"/>
      <c r="L55" s="11"/>
      <c r="M55" s="346" t="s">
        <v>158</v>
      </c>
      <c r="N55" s="346"/>
    </row>
    <row r="56" spans="1:17" ht="15" customHeight="1" x14ac:dyDescent="0.25">
      <c r="A56" s="336" t="s">
        <v>3</v>
      </c>
      <c r="B56" s="338" t="s">
        <v>156</v>
      </c>
      <c r="C56" s="339"/>
      <c r="D56" s="23" t="s">
        <v>91</v>
      </c>
      <c r="E56" s="23" t="s">
        <v>90</v>
      </c>
      <c r="F56" s="23" t="s">
        <v>89</v>
      </c>
      <c r="G56" s="23" t="s">
        <v>88</v>
      </c>
      <c r="H56" s="229"/>
      <c r="I56" s="229"/>
      <c r="J56" s="342">
        <f>IF(D57="N",0,(E57*F57)-G57)</f>
        <v>432.95999999999992</v>
      </c>
      <c r="K56" s="343"/>
      <c r="L56" s="11"/>
      <c r="M56" s="346" t="s">
        <v>159</v>
      </c>
      <c r="N56" s="346"/>
      <c r="Q56" s="52"/>
    </row>
    <row r="57" spans="1:17" ht="15" customHeight="1" x14ac:dyDescent="0.25">
      <c r="A57" s="337"/>
      <c r="B57" s="340"/>
      <c r="C57" s="341"/>
      <c r="D57" s="23" t="s">
        <v>87</v>
      </c>
      <c r="E57" s="29">
        <v>36.08</v>
      </c>
      <c r="F57" s="23">
        <v>15</v>
      </c>
      <c r="G57" s="29">
        <f>E57*F57*0.2</f>
        <v>108.24</v>
      </c>
      <c r="H57" s="230"/>
      <c r="I57" s="230"/>
      <c r="J57" s="344"/>
      <c r="K57" s="345"/>
      <c r="L57" s="11"/>
      <c r="M57" s="346" t="s">
        <v>160</v>
      </c>
      <c r="N57" s="346"/>
      <c r="Q57" s="52"/>
    </row>
    <row r="58" spans="1:17" ht="15" customHeight="1" x14ac:dyDescent="0.25">
      <c r="A58" s="51" t="s">
        <v>4</v>
      </c>
      <c r="B58" s="331" t="s">
        <v>155</v>
      </c>
      <c r="C58" s="333"/>
      <c r="D58" s="23" t="s">
        <v>87</v>
      </c>
      <c r="E58" s="29">
        <v>16.73</v>
      </c>
      <c r="F58" s="23">
        <v>1</v>
      </c>
      <c r="G58" s="29">
        <f>E58*F58*0.2</f>
        <v>3.3460000000000001</v>
      </c>
      <c r="H58" s="231"/>
      <c r="I58" s="231"/>
      <c r="J58" s="334">
        <f>IF(D58="N",0,(E58*F58)-G58)</f>
        <v>13.384</v>
      </c>
      <c r="K58" s="335"/>
      <c r="L58" s="11"/>
      <c r="M58" s="11"/>
      <c r="Q58" s="52"/>
    </row>
    <row r="59" spans="1:17" ht="15" customHeight="1" x14ac:dyDescent="0.25">
      <c r="A59" s="51" t="s">
        <v>5</v>
      </c>
      <c r="B59" s="331" t="s">
        <v>144</v>
      </c>
      <c r="C59" s="332"/>
      <c r="D59" s="332"/>
      <c r="E59" s="332"/>
      <c r="F59" s="332"/>
      <c r="G59" s="333"/>
      <c r="H59" s="91"/>
      <c r="I59" s="91"/>
      <c r="J59" s="334"/>
      <c r="K59" s="335"/>
      <c r="L59" s="11"/>
      <c r="M59" s="11"/>
      <c r="Q59" s="52"/>
    </row>
    <row r="60" spans="1:17" ht="15" customHeight="1" x14ac:dyDescent="0.25">
      <c r="A60" s="51" t="s">
        <v>11</v>
      </c>
      <c r="B60" s="331" t="s">
        <v>166</v>
      </c>
      <c r="C60" s="332"/>
      <c r="D60" s="332"/>
      <c r="E60" s="332"/>
      <c r="F60" s="332"/>
      <c r="G60" s="333"/>
      <c r="H60" s="91"/>
      <c r="I60" s="91"/>
      <c r="J60" s="334"/>
      <c r="K60" s="335"/>
      <c r="L60" s="11"/>
      <c r="M60" s="11"/>
      <c r="Q60" s="52"/>
    </row>
    <row r="61" spans="1:17" ht="15" customHeight="1" x14ac:dyDescent="0.25">
      <c r="A61" s="51" t="s">
        <v>12</v>
      </c>
      <c r="B61" s="90" t="s">
        <v>167</v>
      </c>
      <c r="C61" s="91"/>
      <c r="D61" s="91"/>
      <c r="E61" s="91"/>
      <c r="F61" s="91"/>
      <c r="G61" s="92"/>
      <c r="H61" s="91"/>
      <c r="I61" s="91"/>
      <c r="J61" s="103"/>
      <c r="K61" s="104"/>
      <c r="L61" s="11"/>
      <c r="M61" s="11"/>
      <c r="Q61" s="52"/>
    </row>
    <row r="62" spans="1:17" ht="15" customHeight="1" x14ac:dyDescent="0.25">
      <c r="A62" s="51" t="s">
        <v>23</v>
      </c>
      <c r="B62" s="90" t="s">
        <v>168</v>
      </c>
      <c r="C62" s="91"/>
      <c r="D62" s="91"/>
      <c r="E62" s="91"/>
      <c r="F62" s="91"/>
      <c r="G62" s="92"/>
      <c r="H62" s="91"/>
      <c r="I62" s="91"/>
      <c r="J62" s="334">
        <v>29.66</v>
      </c>
      <c r="K62" s="335"/>
      <c r="L62" s="11"/>
      <c r="M62" s="11"/>
      <c r="Q62" s="52"/>
    </row>
    <row r="63" spans="1:17" ht="15" customHeight="1" x14ac:dyDescent="0.25">
      <c r="A63" s="308" t="s">
        <v>68</v>
      </c>
      <c r="B63" s="308"/>
      <c r="C63" s="308"/>
      <c r="D63" s="308"/>
      <c r="E63" s="308"/>
      <c r="F63" s="308"/>
      <c r="G63" s="308"/>
      <c r="H63" s="40"/>
      <c r="I63" s="40"/>
      <c r="J63" s="328">
        <f>SUM(J55:K62)</f>
        <v>622.75199999999984</v>
      </c>
      <c r="K63" s="328"/>
      <c r="L63" s="11"/>
      <c r="M63" s="11"/>
    </row>
    <row r="64" spans="1:17" ht="15" customHeight="1" x14ac:dyDescent="0.25">
      <c r="A64" s="309"/>
      <c r="B64" s="309"/>
      <c r="C64" s="309"/>
      <c r="D64" s="309"/>
      <c r="E64" s="309"/>
      <c r="F64" s="309"/>
      <c r="G64" s="309"/>
      <c r="H64" s="309"/>
      <c r="I64" s="309"/>
      <c r="J64" s="309"/>
      <c r="K64" s="309"/>
      <c r="L64" s="11"/>
      <c r="M64" s="11"/>
    </row>
    <row r="65" spans="1:29" ht="15" customHeight="1" x14ac:dyDescent="0.25">
      <c r="A65" s="310" t="s">
        <v>86</v>
      </c>
      <c r="B65" s="310"/>
      <c r="C65" s="310"/>
      <c r="D65" s="310"/>
      <c r="E65" s="310"/>
      <c r="F65" s="310"/>
      <c r="G65" s="310"/>
      <c r="H65" s="310"/>
      <c r="I65" s="310"/>
      <c r="J65" s="310"/>
      <c r="K65" s="310"/>
      <c r="L65" s="11"/>
      <c r="M65" s="11"/>
      <c r="P65" s="53"/>
    </row>
    <row r="66" spans="1:29" ht="15" customHeight="1" x14ac:dyDescent="0.25">
      <c r="A66" s="311"/>
      <c r="B66" s="311"/>
      <c r="C66" s="311"/>
      <c r="D66" s="311"/>
      <c r="E66" s="311"/>
      <c r="F66" s="311"/>
      <c r="G66" s="311"/>
      <c r="H66" s="311"/>
      <c r="I66" s="311"/>
      <c r="J66" s="311"/>
      <c r="K66" s="311"/>
      <c r="L66" s="11"/>
      <c r="M66" s="11"/>
      <c r="P66" s="52"/>
    </row>
    <row r="67" spans="1:29" ht="15" customHeight="1" x14ac:dyDescent="0.25">
      <c r="A67" s="39">
        <v>2</v>
      </c>
      <c r="B67" s="296" t="s">
        <v>70</v>
      </c>
      <c r="C67" s="296"/>
      <c r="D67" s="296"/>
      <c r="E67" s="296"/>
      <c r="F67" s="296"/>
      <c r="G67" s="296"/>
      <c r="H67" s="211"/>
      <c r="I67" s="211"/>
      <c r="J67" s="278" t="s">
        <v>10</v>
      </c>
      <c r="K67" s="278"/>
      <c r="L67" s="11"/>
      <c r="M67" s="11"/>
    </row>
    <row r="68" spans="1:29" ht="15" customHeight="1" x14ac:dyDescent="0.25">
      <c r="A68" s="24" t="s">
        <v>85</v>
      </c>
      <c r="B68" s="276" t="s">
        <v>84</v>
      </c>
      <c r="C68" s="276"/>
      <c r="D68" s="276"/>
      <c r="E68" s="276"/>
      <c r="F68" s="276"/>
      <c r="G68" s="276"/>
      <c r="H68" s="210"/>
      <c r="I68" s="210"/>
      <c r="J68" s="277">
        <f>K40</f>
        <v>571.93937296363629</v>
      </c>
      <c r="K68" s="277"/>
      <c r="L68" s="11"/>
      <c r="M68" s="14"/>
      <c r="N68" s="10"/>
      <c r="O68" s="10"/>
      <c r="P68" s="10"/>
      <c r="Q68" s="10"/>
    </row>
    <row r="69" spans="1:29" ht="15" customHeight="1" x14ac:dyDescent="0.25">
      <c r="A69" s="24" t="s">
        <v>83</v>
      </c>
      <c r="B69" s="276" t="s">
        <v>82</v>
      </c>
      <c r="C69" s="276"/>
      <c r="D69" s="276"/>
      <c r="E69" s="276"/>
      <c r="F69" s="276"/>
      <c r="G69" s="276"/>
      <c r="H69" s="210"/>
      <c r="I69" s="210"/>
      <c r="J69" s="277">
        <f>K51</f>
        <v>1240.6924325233454</v>
      </c>
      <c r="K69" s="277"/>
      <c r="L69" s="11"/>
      <c r="M69" s="11"/>
    </row>
    <row r="70" spans="1:29" ht="15" customHeight="1" x14ac:dyDescent="0.25">
      <c r="A70" s="24" t="s">
        <v>81</v>
      </c>
      <c r="B70" s="276" t="s">
        <v>80</v>
      </c>
      <c r="C70" s="276"/>
      <c r="D70" s="276"/>
      <c r="E70" s="276"/>
      <c r="F70" s="276"/>
      <c r="G70" s="276"/>
      <c r="H70" s="210"/>
      <c r="I70" s="210"/>
      <c r="J70" s="277">
        <f>J63</f>
        <v>622.75199999999984</v>
      </c>
      <c r="K70" s="277"/>
      <c r="L70" s="11"/>
      <c r="M70" s="11"/>
    </row>
    <row r="71" spans="1:29" ht="15" customHeight="1" x14ac:dyDescent="0.25">
      <c r="A71" s="308" t="s">
        <v>68</v>
      </c>
      <c r="B71" s="308"/>
      <c r="C71" s="308"/>
      <c r="D71" s="308"/>
      <c r="E71" s="308"/>
      <c r="F71" s="308"/>
      <c r="G71" s="308"/>
      <c r="H71" s="40"/>
      <c r="I71" s="40"/>
      <c r="J71" s="328">
        <f>SUM(J68:K70)</f>
        <v>2435.3838054869816</v>
      </c>
      <c r="K71" s="328"/>
      <c r="L71" s="11"/>
      <c r="M71" s="11"/>
    </row>
    <row r="72" spans="1:29" ht="15" customHeight="1" x14ac:dyDescent="0.25">
      <c r="A72" s="306"/>
      <c r="B72" s="306"/>
      <c r="C72" s="306"/>
      <c r="D72" s="306"/>
      <c r="E72" s="306"/>
      <c r="F72" s="306"/>
      <c r="G72" s="306"/>
      <c r="H72" s="306"/>
      <c r="I72" s="306"/>
      <c r="J72" s="306"/>
      <c r="K72" s="306"/>
      <c r="L72" s="11"/>
      <c r="M72" s="11"/>
    </row>
    <row r="73" spans="1:29" ht="15" customHeight="1" x14ac:dyDescent="0.25">
      <c r="A73" s="286" t="s">
        <v>79</v>
      </c>
      <c r="B73" s="287"/>
      <c r="C73" s="287"/>
      <c r="D73" s="287"/>
      <c r="E73" s="287"/>
      <c r="F73" s="287"/>
      <c r="G73" s="287"/>
      <c r="H73" s="287"/>
      <c r="I73" s="287"/>
      <c r="J73" s="287"/>
      <c r="K73" s="288"/>
      <c r="L73" s="11"/>
      <c r="M73" s="320"/>
      <c r="N73" s="320"/>
      <c r="O73" s="320"/>
      <c r="P73" s="320"/>
    </row>
    <row r="74" spans="1:29" ht="15" customHeight="1" x14ac:dyDescent="0.25">
      <c r="A74" s="40">
        <v>3</v>
      </c>
      <c r="B74" s="60" t="s">
        <v>169</v>
      </c>
      <c r="C74" s="59"/>
      <c r="D74" s="59"/>
      <c r="E74" s="59"/>
      <c r="F74" s="59"/>
      <c r="G74" s="59"/>
      <c r="H74" s="59"/>
      <c r="I74" s="59"/>
      <c r="J74" s="40" t="s">
        <v>64</v>
      </c>
      <c r="K74" s="43" t="s">
        <v>10</v>
      </c>
      <c r="L74" s="11"/>
      <c r="M74" s="320"/>
      <c r="N74" s="320"/>
      <c r="O74" s="320"/>
      <c r="P74" s="320"/>
    </row>
    <row r="75" spans="1:29" ht="15" customHeight="1" x14ac:dyDescent="0.25">
      <c r="A75" s="23" t="s">
        <v>2</v>
      </c>
      <c r="B75" s="324" t="s">
        <v>260</v>
      </c>
      <c r="C75" s="325"/>
      <c r="D75" s="325"/>
      <c r="E75" s="325"/>
      <c r="F75" s="325"/>
      <c r="G75" s="326"/>
      <c r="H75" s="222"/>
      <c r="I75" s="222"/>
      <c r="J75" s="55">
        <v>4.6249999999999998E-3</v>
      </c>
      <c r="K75" s="32">
        <f>$J$75*(J26+J27+J29+J30)</f>
        <v>12.947721977272726</v>
      </c>
      <c r="L75" s="11"/>
      <c r="M75" s="330"/>
      <c r="N75" s="330"/>
      <c r="O75" s="330"/>
      <c r="P75" s="330"/>
      <c r="Q75" s="330"/>
      <c r="R75" s="330"/>
      <c r="S75" s="330"/>
      <c r="T75" s="330"/>
      <c r="U75" s="330"/>
      <c r="V75" s="330"/>
      <c r="W75" s="330"/>
      <c r="X75" s="330"/>
      <c r="Y75" s="330"/>
      <c r="Z75" s="330"/>
      <c r="AA75" s="330"/>
      <c r="AB75" s="330"/>
      <c r="AC75" s="330"/>
    </row>
    <row r="76" spans="1:29" ht="15" customHeight="1" x14ac:dyDescent="0.25">
      <c r="A76" s="23" t="s">
        <v>3</v>
      </c>
      <c r="B76" s="62" t="s">
        <v>26</v>
      </c>
      <c r="C76" s="63"/>
      <c r="D76" s="63"/>
      <c r="E76" s="63"/>
      <c r="F76" s="63"/>
      <c r="G76" s="63"/>
      <c r="H76" s="63"/>
      <c r="I76" s="63"/>
      <c r="J76" s="55">
        <f>K76/(J26+J27+J29+J30)</f>
        <v>3.6999999999999999E-4</v>
      </c>
      <c r="K76" s="32">
        <f>K75*0.08</f>
        <v>1.0358177581818182</v>
      </c>
      <c r="L76" s="11"/>
      <c r="M76" s="108"/>
      <c r="N76" s="52"/>
    </row>
    <row r="77" spans="1:29" ht="15" customHeight="1" x14ac:dyDescent="0.25">
      <c r="A77" s="23" t="s">
        <v>4</v>
      </c>
      <c r="B77" s="62" t="s">
        <v>324</v>
      </c>
      <c r="C77" s="63"/>
      <c r="D77" s="63"/>
      <c r="E77" s="63"/>
      <c r="F77" s="63"/>
      <c r="G77" s="63"/>
      <c r="H77" s="63"/>
      <c r="I77" s="63"/>
      <c r="J77" s="55">
        <v>5.4000000000000003E-3</v>
      </c>
      <c r="K77" s="32">
        <f>K75*0.4</f>
        <v>5.1790887909090912</v>
      </c>
      <c r="L77" s="11"/>
      <c r="M77" s="320"/>
      <c r="N77" s="320"/>
      <c r="O77" s="320"/>
      <c r="P77" s="320"/>
      <c r="Q77" s="320"/>
      <c r="R77" s="320"/>
      <c r="S77" s="320"/>
      <c r="T77" s="320"/>
      <c r="U77" s="320"/>
      <c r="V77" s="320"/>
      <c r="W77" s="320"/>
      <c r="X77" s="320"/>
      <c r="Y77" s="320"/>
      <c r="Z77" s="320"/>
      <c r="AA77" s="320"/>
      <c r="AB77" s="320"/>
    </row>
    <row r="78" spans="1:29" ht="15" customHeight="1" x14ac:dyDescent="0.25">
      <c r="A78" s="23" t="s">
        <v>5</v>
      </c>
      <c r="B78" s="324" t="s">
        <v>261</v>
      </c>
      <c r="C78" s="325"/>
      <c r="D78" s="325"/>
      <c r="E78" s="325"/>
      <c r="F78" s="325"/>
      <c r="G78" s="326"/>
      <c r="H78" s="222"/>
      <c r="I78" s="222"/>
      <c r="J78" s="55">
        <f>7/30/12</f>
        <v>1.9444444444444445E-2</v>
      </c>
      <c r="K78" s="32">
        <f>J78*(J26+J27+J29+J30)</f>
        <v>54.434867171717173</v>
      </c>
      <c r="L78" s="11"/>
      <c r="M78" s="108"/>
      <c r="O78" s="54"/>
    </row>
    <row r="79" spans="1:29" ht="15" customHeight="1" x14ac:dyDescent="0.25">
      <c r="A79" s="23" t="s">
        <v>11</v>
      </c>
      <c r="B79" s="62" t="s">
        <v>78</v>
      </c>
      <c r="C79" s="63"/>
      <c r="D79" s="63"/>
      <c r="E79" s="63"/>
      <c r="F79" s="63"/>
      <c r="G79" s="63"/>
      <c r="H79" s="63"/>
      <c r="I79" s="63"/>
      <c r="J79" s="55">
        <f>J51*J78</f>
        <v>7.1555555555555565E-3</v>
      </c>
      <c r="K79" s="32">
        <f>J79*(J26+J27+J29+J30)</f>
        <v>20.03203111919192</v>
      </c>
      <c r="L79" s="11"/>
      <c r="M79" s="320"/>
      <c r="N79" s="320"/>
      <c r="O79" s="320"/>
      <c r="P79" s="320"/>
    </row>
    <row r="80" spans="1:29" ht="15" customHeight="1" x14ac:dyDescent="0.25">
      <c r="A80" s="23" t="s">
        <v>12</v>
      </c>
      <c r="B80" s="62" t="s">
        <v>322</v>
      </c>
      <c r="C80" s="63"/>
      <c r="D80" s="63"/>
      <c r="E80" s="63"/>
      <c r="F80" s="63"/>
      <c r="G80" s="63"/>
      <c r="H80" s="63"/>
      <c r="I80" s="63"/>
      <c r="J80" s="55">
        <v>3.4599999999999999E-2</v>
      </c>
      <c r="K80" s="32">
        <f>J80*(J26+J27+J29+J30)</f>
        <v>96.862957927272717</v>
      </c>
      <c r="L80" s="11"/>
      <c r="M80" s="327"/>
      <c r="N80" s="327"/>
      <c r="O80" s="327"/>
      <c r="P80" s="327"/>
      <c r="Q80" s="327"/>
    </row>
    <row r="81" spans="1:42" ht="15" customHeight="1" x14ac:dyDescent="0.25">
      <c r="A81" s="60" t="s">
        <v>68</v>
      </c>
      <c r="B81" s="59"/>
      <c r="C81" s="59"/>
      <c r="D81" s="59"/>
      <c r="E81" s="59"/>
      <c r="F81" s="59"/>
      <c r="G81" s="59"/>
      <c r="H81" s="59"/>
      <c r="I81" s="59"/>
      <c r="J81" s="328">
        <f>SUM(K75:K80)</f>
        <v>190.49248474454544</v>
      </c>
      <c r="K81" s="328"/>
      <c r="L81" s="11"/>
      <c r="M81" s="109"/>
    </row>
    <row r="82" spans="1:42" ht="15" customHeight="1" x14ac:dyDescent="0.25">
      <c r="A82" s="329"/>
      <c r="B82" s="329"/>
      <c r="C82" s="329"/>
      <c r="D82" s="329"/>
      <c r="E82" s="329"/>
      <c r="F82" s="329"/>
      <c r="G82" s="329"/>
      <c r="H82" s="329"/>
      <c r="I82" s="329"/>
      <c r="J82" s="329"/>
      <c r="K82" s="329"/>
      <c r="L82" s="11"/>
      <c r="M82" s="320"/>
      <c r="N82" s="320"/>
      <c r="O82" s="320"/>
      <c r="P82" s="320"/>
      <c r="Q82" s="320"/>
      <c r="R82" s="320"/>
      <c r="S82" s="320"/>
      <c r="T82" s="320"/>
      <c r="U82" s="320"/>
      <c r="V82" s="320"/>
      <c r="W82" s="320"/>
      <c r="X82" s="320"/>
      <c r="Y82" s="320"/>
      <c r="Z82" s="320"/>
      <c r="AA82" s="320"/>
      <c r="AB82" s="320"/>
    </row>
    <row r="83" spans="1:42" ht="15" customHeight="1" x14ac:dyDescent="0.25">
      <c r="A83" s="286" t="s">
        <v>76</v>
      </c>
      <c r="B83" s="287"/>
      <c r="C83" s="287"/>
      <c r="D83" s="287"/>
      <c r="E83" s="287"/>
      <c r="F83" s="287"/>
      <c r="G83" s="287"/>
      <c r="H83" s="287"/>
      <c r="I83" s="287"/>
      <c r="J83" s="287"/>
      <c r="K83" s="288"/>
      <c r="L83" s="11"/>
      <c r="M83" s="108"/>
    </row>
    <row r="84" spans="1:42" ht="15" customHeight="1" x14ac:dyDescent="0.25">
      <c r="A84" s="317" t="s">
        <v>75</v>
      </c>
      <c r="B84" s="318"/>
      <c r="C84" s="318"/>
      <c r="D84" s="318"/>
      <c r="E84" s="318"/>
      <c r="F84" s="318"/>
      <c r="G84" s="318"/>
      <c r="H84" s="318"/>
      <c r="I84" s="318"/>
      <c r="J84" s="318"/>
      <c r="K84" s="319"/>
      <c r="L84" s="11"/>
      <c r="M84" s="320"/>
      <c r="N84" s="320"/>
      <c r="O84" s="320"/>
      <c r="P84" s="320"/>
      <c r="Q84" s="320"/>
      <c r="R84" s="320"/>
      <c r="S84" s="320"/>
      <c r="T84" s="320"/>
      <c r="U84" s="320"/>
      <c r="V84" s="320"/>
      <c r="W84" s="320"/>
      <c r="X84" s="320"/>
      <c r="Y84" s="320"/>
      <c r="Z84" s="320"/>
      <c r="AA84" s="320"/>
      <c r="AB84" s="320"/>
      <c r="AC84" s="320"/>
      <c r="AD84" s="320"/>
      <c r="AE84" s="320"/>
      <c r="AF84" s="320"/>
      <c r="AG84" s="320"/>
      <c r="AH84" s="320"/>
      <c r="AI84" s="320"/>
      <c r="AJ84" s="320"/>
      <c r="AK84" s="320"/>
      <c r="AL84" s="320"/>
      <c r="AM84" s="320"/>
      <c r="AN84" s="320"/>
      <c r="AO84" s="320"/>
      <c r="AP84" s="320"/>
    </row>
    <row r="85" spans="1:42" ht="15" customHeight="1" x14ac:dyDescent="0.25">
      <c r="A85" s="40" t="s">
        <v>17</v>
      </c>
      <c r="B85" s="321" t="s">
        <v>74</v>
      </c>
      <c r="C85" s="322"/>
      <c r="D85" s="322"/>
      <c r="E85" s="322"/>
      <c r="F85" s="322"/>
      <c r="G85" s="323"/>
      <c r="H85" s="219"/>
      <c r="I85" s="219"/>
      <c r="J85" s="40" t="s">
        <v>64</v>
      </c>
      <c r="K85" s="40" t="s">
        <v>10</v>
      </c>
      <c r="L85" s="11"/>
      <c r="M85" s="108"/>
    </row>
    <row r="86" spans="1:42" ht="15" customHeight="1" x14ac:dyDescent="0.25">
      <c r="A86" s="23" t="s">
        <v>2</v>
      </c>
      <c r="B86" s="62" t="s">
        <v>73</v>
      </c>
      <c r="C86" s="63"/>
      <c r="D86" s="63"/>
      <c r="E86" s="63"/>
      <c r="F86" s="63"/>
      <c r="G86" s="63"/>
      <c r="H86" s="63"/>
      <c r="I86" s="63"/>
      <c r="J86" s="55">
        <f>'Memória de Cálculo'!C48</f>
        <v>6.9444444444444441E-3</v>
      </c>
      <c r="K86" s="30">
        <f>J86*(J26+J27+J29+J30)</f>
        <v>19.441023989898987</v>
      </c>
      <c r="L86" s="11"/>
      <c r="M86" s="11"/>
    </row>
    <row r="87" spans="1:42" ht="15" customHeight="1" x14ac:dyDescent="0.25">
      <c r="A87" s="23" t="s">
        <v>3</v>
      </c>
      <c r="B87" s="62" t="s">
        <v>277</v>
      </c>
      <c r="C87" s="63"/>
      <c r="D87" s="63"/>
      <c r="E87" s="63"/>
      <c r="F87" s="63"/>
      <c r="G87" s="63"/>
      <c r="H87" s="63"/>
      <c r="I87" s="63"/>
      <c r="J87" s="55">
        <f>'Memória de Cálculo'!C49</f>
        <v>8.3333333333333332E-3</v>
      </c>
      <c r="K87" s="30">
        <f>J87*(J26+J27+J29+J30)</f>
        <v>23.329228787878787</v>
      </c>
      <c r="L87" s="11"/>
      <c r="M87" s="13"/>
      <c r="N87" s="9"/>
      <c r="O87" s="9"/>
      <c r="Q87" s="64"/>
    </row>
    <row r="88" spans="1:42" ht="15" customHeight="1" x14ac:dyDescent="0.25">
      <c r="A88" s="23" t="s">
        <v>4</v>
      </c>
      <c r="B88" s="62" t="s">
        <v>331</v>
      </c>
      <c r="C88" s="63"/>
      <c r="D88" s="63"/>
      <c r="E88" s="63"/>
      <c r="F88" s="63"/>
      <c r="G88" s="63"/>
      <c r="H88" s="63"/>
      <c r="I88" s="63"/>
      <c r="J88" s="55">
        <f>'Memória de Cálculo'!C50</f>
        <v>5.2499999999999997E-4</v>
      </c>
      <c r="K88" s="30">
        <f>J88*(J26+J27+J29+J30)</f>
        <v>1.4697414136363636</v>
      </c>
      <c r="L88" s="11"/>
      <c r="M88" s="13"/>
      <c r="N88" s="9"/>
      <c r="O88" s="9"/>
      <c r="Q88" s="64"/>
    </row>
    <row r="89" spans="1:42" ht="15" customHeight="1" x14ac:dyDescent="0.25">
      <c r="A89" s="23" t="s">
        <v>5</v>
      </c>
      <c r="B89" s="62" t="s">
        <v>137</v>
      </c>
      <c r="C89" s="63"/>
      <c r="D89" s="63"/>
      <c r="E89" s="63"/>
      <c r="F89" s="63"/>
      <c r="G89" s="63"/>
      <c r="H89" s="63"/>
      <c r="I89" s="63"/>
      <c r="J89" s="55">
        <f>'Memória de Cálculo'!C51</f>
        <v>1.1250000000000001E-4</v>
      </c>
      <c r="K89" s="30">
        <f>J89*(J26+J27+J29+J30)</f>
        <v>0.31494458863636365</v>
      </c>
      <c r="L89" s="11"/>
      <c r="M89" s="11"/>
    </row>
    <row r="90" spans="1:42" ht="15" customHeight="1" x14ac:dyDescent="0.25">
      <c r="A90" s="23" t="s">
        <v>11</v>
      </c>
      <c r="B90" s="62" t="s">
        <v>72</v>
      </c>
      <c r="C90" s="63"/>
      <c r="D90" s="63"/>
      <c r="E90" s="63"/>
      <c r="F90" s="63"/>
      <c r="G90" s="63"/>
      <c r="H90" s="63"/>
      <c r="I90" s="63"/>
      <c r="J90" s="55">
        <f>'Memória de Cálculo'!C52</f>
        <v>4.1666666666666664E-2</v>
      </c>
      <c r="K90" s="30">
        <f>J90*(J26+J27+J29+J30)</f>
        <v>116.64614393939394</v>
      </c>
      <c r="L90" s="11"/>
      <c r="M90" s="11"/>
    </row>
    <row r="91" spans="1:42" ht="15" customHeight="1" x14ac:dyDescent="0.25">
      <c r="A91" s="23" t="s">
        <v>12</v>
      </c>
      <c r="B91" s="62" t="s">
        <v>276</v>
      </c>
      <c r="C91" s="63"/>
      <c r="D91" s="63"/>
      <c r="E91" s="63"/>
      <c r="F91" s="63"/>
      <c r="G91" s="63"/>
      <c r="H91" s="63"/>
      <c r="I91" s="63"/>
      <c r="J91" s="55">
        <f>'Memória de Cálculo'!C53</f>
        <v>1.3888888888888888E-2</v>
      </c>
      <c r="K91" s="30">
        <f>J91*(J26+J27+J29+J30)</f>
        <v>38.882047979797974</v>
      </c>
      <c r="L91" s="11"/>
      <c r="M91" s="11"/>
      <c r="O91" s="68"/>
    </row>
    <row r="92" spans="1:42" ht="15" customHeight="1" x14ac:dyDescent="0.25">
      <c r="A92" s="23"/>
      <c r="B92" s="281" t="s">
        <v>138</v>
      </c>
      <c r="C92" s="312"/>
      <c r="D92" s="312"/>
      <c r="E92" s="312"/>
      <c r="F92" s="312"/>
      <c r="G92" s="282"/>
      <c r="H92" s="216"/>
      <c r="I92" s="216"/>
      <c r="J92" s="67">
        <f>SUM(J86:J91)</f>
        <v>7.1470833333333331E-2</v>
      </c>
      <c r="K92" s="30"/>
      <c r="L92" s="11"/>
      <c r="M92" s="11"/>
    </row>
    <row r="93" spans="1:42" ht="15" customHeight="1" x14ac:dyDescent="0.25">
      <c r="A93" s="23" t="s">
        <v>23</v>
      </c>
      <c r="B93" s="241" t="s">
        <v>332</v>
      </c>
      <c r="C93" s="63"/>
      <c r="D93" s="63"/>
      <c r="E93" s="63"/>
      <c r="F93" s="63"/>
      <c r="G93" s="63"/>
      <c r="H93" s="63"/>
      <c r="I93" s="63"/>
      <c r="J93" s="55">
        <f>SUM(J86:J89)*J51</f>
        <v>5.8568222222222235E-3</v>
      </c>
      <c r="K93" s="30">
        <f>J93*(J26+J27+J29+J30)</f>
        <v>16.396217471058588</v>
      </c>
      <c r="L93" s="11"/>
      <c r="M93" s="11"/>
    </row>
    <row r="94" spans="1:42" ht="15" customHeight="1" x14ac:dyDescent="0.25">
      <c r="A94" s="281" t="s">
        <v>68</v>
      </c>
      <c r="B94" s="312"/>
      <c r="C94" s="312"/>
      <c r="D94" s="312"/>
      <c r="E94" s="312"/>
      <c r="F94" s="312"/>
      <c r="G94" s="282"/>
      <c r="H94" s="216"/>
      <c r="I94" s="216"/>
      <c r="J94" s="42">
        <f>J92+J93</f>
        <v>7.7327655555555555E-2</v>
      </c>
      <c r="K94" s="41">
        <f>SUM(K86:K91,K93:K93)</f>
        <v>216.47934817030099</v>
      </c>
      <c r="L94" s="11"/>
      <c r="M94" s="11"/>
    </row>
    <row r="95" spans="1:42" ht="15" customHeight="1" x14ac:dyDescent="0.25">
      <c r="A95" s="309"/>
      <c r="B95" s="309"/>
      <c r="C95" s="309"/>
      <c r="D95" s="309"/>
      <c r="E95" s="309"/>
      <c r="F95" s="309"/>
      <c r="G95" s="309"/>
      <c r="H95" s="309"/>
      <c r="I95" s="309"/>
      <c r="J95" s="309"/>
      <c r="K95" s="309"/>
      <c r="L95" s="11"/>
      <c r="M95" s="11"/>
    </row>
    <row r="96" spans="1:42" ht="15" customHeight="1" x14ac:dyDescent="0.25">
      <c r="A96" s="310" t="s">
        <v>71</v>
      </c>
      <c r="B96" s="310"/>
      <c r="C96" s="310"/>
      <c r="D96" s="310"/>
      <c r="E96" s="310"/>
      <c r="F96" s="310"/>
      <c r="G96" s="310"/>
      <c r="H96" s="310"/>
      <c r="I96" s="310"/>
      <c r="J96" s="310"/>
      <c r="K96" s="310"/>
      <c r="L96" s="11"/>
      <c r="M96" s="11"/>
    </row>
    <row r="97" spans="1:14" ht="15" customHeight="1" x14ac:dyDescent="0.25">
      <c r="A97" s="311"/>
      <c r="B97" s="311"/>
      <c r="C97" s="311"/>
      <c r="D97" s="311"/>
      <c r="E97" s="311"/>
      <c r="F97" s="311"/>
      <c r="G97" s="311"/>
      <c r="H97" s="311"/>
      <c r="I97" s="311"/>
      <c r="J97" s="311"/>
      <c r="K97" s="311"/>
      <c r="L97" s="11"/>
      <c r="M97" s="11"/>
    </row>
    <row r="98" spans="1:14" ht="15" customHeight="1" x14ac:dyDescent="0.25">
      <c r="A98" s="39">
        <v>4</v>
      </c>
      <c r="B98" s="99" t="s">
        <v>70</v>
      </c>
      <c r="C98" s="100"/>
      <c r="D98" s="100"/>
      <c r="E98" s="100"/>
      <c r="F98" s="100"/>
      <c r="G98" s="100"/>
      <c r="H98" s="100"/>
      <c r="I98" s="100"/>
      <c r="J98" s="312" t="s">
        <v>10</v>
      </c>
      <c r="K98" s="282"/>
      <c r="L98" s="199"/>
      <c r="M98" s="11"/>
    </row>
    <row r="99" spans="1:14" ht="15" customHeight="1" x14ac:dyDescent="0.25">
      <c r="A99" s="24" t="s">
        <v>17</v>
      </c>
      <c r="B99" s="97" t="s">
        <v>69</v>
      </c>
      <c r="C99" s="98"/>
      <c r="D99" s="98"/>
      <c r="E99" s="98"/>
      <c r="F99" s="98"/>
      <c r="G99" s="98"/>
      <c r="H99" s="98"/>
      <c r="I99" s="98"/>
      <c r="J99" s="313">
        <f>K94</f>
        <v>216.47934817030099</v>
      </c>
      <c r="K99" s="314"/>
      <c r="L99" s="200"/>
      <c r="M99" s="11"/>
    </row>
    <row r="100" spans="1:14" ht="15" customHeight="1" x14ac:dyDescent="0.25">
      <c r="A100" s="60" t="s">
        <v>68</v>
      </c>
      <c r="B100" s="59"/>
      <c r="C100" s="59"/>
      <c r="D100" s="59"/>
      <c r="E100" s="59"/>
      <c r="F100" s="59"/>
      <c r="G100" s="59"/>
      <c r="H100" s="59"/>
      <c r="I100" s="59"/>
      <c r="J100" s="315">
        <f>SUM(J99:L99)</f>
        <v>216.47934817030099</v>
      </c>
      <c r="K100" s="316"/>
      <c r="L100" s="201"/>
      <c r="M100" s="11"/>
    </row>
    <row r="101" spans="1:14" ht="15" customHeight="1" x14ac:dyDescent="0.25">
      <c r="A101" s="306"/>
      <c r="B101" s="306"/>
      <c r="C101" s="306"/>
      <c r="D101" s="306"/>
      <c r="E101" s="306"/>
      <c r="F101" s="306"/>
      <c r="G101" s="306"/>
      <c r="H101" s="306"/>
      <c r="I101" s="306"/>
      <c r="J101" s="306"/>
      <c r="K101" s="306"/>
      <c r="L101" s="11"/>
      <c r="M101" s="11"/>
    </row>
    <row r="102" spans="1:14" ht="15" customHeight="1" x14ac:dyDescent="0.25">
      <c r="A102" s="286" t="s">
        <v>67</v>
      </c>
      <c r="B102" s="287"/>
      <c r="C102" s="287"/>
      <c r="D102" s="287"/>
      <c r="E102" s="287"/>
      <c r="F102" s="287"/>
      <c r="G102" s="287"/>
      <c r="H102" s="287"/>
      <c r="I102" s="287"/>
      <c r="J102" s="287"/>
      <c r="K102" s="288"/>
      <c r="L102" s="11"/>
      <c r="M102" s="11"/>
    </row>
    <row r="103" spans="1:14" ht="15" customHeight="1" x14ac:dyDescent="0.25">
      <c r="A103" s="40">
        <v>5</v>
      </c>
      <c r="B103" s="307" t="s">
        <v>13</v>
      </c>
      <c r="C103" s="307"/>
      <c r="D103" s="307"/>
      <c r="E103" s="307"/>
      <c r="F103" s="307"/>
      <c r="G103" s="307"/>
      <c r="H103" s="215"/>
      <c r="I103" s="215"/>
      <c r="J103" s="308" t="s">
        <v>10</v>
      </c>
      <c r="K103" s="308"/>
      <c r="L103" s="11"/>
      <c r="M103" s="11"/>
    </row>
    <row r="104" spans="1:14" ht="15" customHeight="1" x14ac:dyDescent="0.25">
      <c r="A104" s="24" t="s">
        <v>2</v>
      </c>
      <c r="B104" s="301" t="s">
        <v>14</v>
      </c>
      <c r="C104" s="302"/>
      <c r="D104" s="302"/>
      <c r="E104" s="302"/>
      <c r="F104" s="302"/>
      <c r="G104" s="303"/>
      <c r="H104" s="214"/>
      <c r="I104" s="214"/>
      <c r="J104" s="300">
        <f>Uniformes!I21</f>
        <v>264.22733333333332</v>
      </c>
      <c r="K104" s="300"/>
      <c r="L104" s="11"/>
      <c r="M104" s="11"/>
    </row>
    <row r="105" spans="1:14" ht="15" customHeight="1" x14ac:dyDescent="0.25">
      <c r="A105" s="24" t="s">
        <v>3</v>
      </c>
      <c r="B105" s="297" t="s">
        <v>16</v>
      </c>
      <c r="C105" s="298"/>
      <c r="D105" s="298"/>
      <c r="E105" s="298"/>
      <c r="F105" s="298"/>
      <c r="G105" s="299"/>
      <c r="H105" s="212"/>
      <c r="I105" s="212"/>
      <c r="J105" s="300">
        <f>'Insumos e Equipamentos'!N19</f>
        <v>25.197484444444445</v>
      </c>
      <c r="K105" s="300"/>
      <c r="L105" s="11"/>
      <c r="M105" s="11"/>
    </row>
    <row r="106" spans="1:14" ht="15" customHeight="1" x14ac:dyDescent="0.25">
      <c r="A106" s="24" t="s">
        <v>4</v>
      </c>
      <c r="B106" s="301" t="s">
        <v>15</v>
      </c>
      <c r="C106" s="302"/>
      <c r="D106" s="302"/>
      <c r="E106" s="302"/>
      <c r="F106" s="302"/>
      <c r="G106" s="303"/>
      <c r="H106" s="214"/>
      <c r="I106" s="214"/>
      <c r="J106" s="300">
        <f>'Insumos e Equipamentos'!J12</f>
        <v>53.792672777777774</v>
      </c>
      <c r="K106" s="300"/>
      <c r="L106" s="11"/>
      <c r="M106" s="11"/>
    </row>
    <row r="107" spans="1:14" ht="15" customHeight="1" x14ac:dyDescent="0.25">
      <c r="A107" s="24" t="s">
        <v>5</v>
      </c>
      <c r="B107" s="301" t="s">
        <v>100</v>
      </c>
      <c r="C107" s="302"/>
      <c r="D107" s="302"/>
      <c r="E107" s="302"/>
      <c r="F107" s="302"/>
      <c r="G107" s="303"/>
      <c r="H107" s="213"/>
      <c r="I107" s="213"/>
      <c r="J107" s="304"/>
      <c r="K107" s="305"/>
      <c r="L107" s="11"/>
      <c r="M107" s="11"/>
    </row>
    <row r="108" spans="1:14" ht="15" customHeight="1" x14ac:dyDescent="0.25">
      <c r="A108" s="278" t="s">
        <v>37</v>
      </c>
      <c r="B108" s="278"/>
      <c r="C108" s="278"/>
      <c r="D108" s="278"/>
      <c r="E108" s="278"/>
      <c r="F108" s="278"/>
      <c r="G108" s="278"/>
      <c r="H108" s="39"/>
      <c r="I108" s="39"/>
      <c r="J108" s="289">
        <f>SUM(J104:K106)</f>
        <v>343.21749055555557</v>
      </c>
      <c r="K108" s="289"/>
      <c r="L108" s="11"/>
      <c r="M108" s="11"/>
    </row>
    <row r="109" spans="1:14" ht="15" customHeight="1" x14ac:dyDescent="0.25">
      <c r="A109" s="295"/>
      <c r="B109" s="295"/>
      <c r="C109" s="295"/>
      <c r="D109" s="295"/>
      <c r="E109" s="295"/>
      <c r="F109" s="295"/>
      <c r="G109" s="295"/>
      <c r="H109" s="295"/>
      <c r="I109" s="295"/>
      <c r="J109" s="295"/>
      <c r="K109" s="295"/>
      <c r="L109" s="11"/>
      <c r="M109" s="11"/>
    </row>
    <row r="110" spans="1:14" ht="15" customHeight="1" x14ac:dyDescent="0.25">
      <c r="A110" s="286" t="s">
        <v>65</v>
      </c>
      <c r="B110" s="287"/>
      <c r="C110" s="287"/>
      <c r="D110" s="287"/>
      <c r="E110" s="287"/>
      <c r="F110" s="287"/>
      <c r="G110" s="287"/>
      <c r="H110" s="287"/>
      <c r="I110" s="287"/>
      <c r="J110" s="287"/>
      <c r="K110" s="288"/>
      <c r="L110" s="11"/>
      <c r="M110" s="11"/>
    </row>
    <row r="111" spans="1:14" ht="15" customHeight="1" x14ac:dyDescent="0.25">
      <c r="A111" s="39">
        <v>6</v>
      </c>
      <c r="B111" s="296" t="s">
        <v>27</v>
      </c>
      <c r="C111" s="296"/>
      <c r="D111" s="296"/>
      <c r="E111" s="296"/>
      <c r="F111" s="296"/>
      <c r="G111" s="296"/>
      <c r="H111" s="211"/>
      <c r="I111" s="211"/>
      <c r="J111" s="39" t="s">
        <v>64</v>
      </c>
      <c r="K111" s="39" t="s">
        <v>10</v>
      </c>
      <c r="L111" s="11"/>
      <c r="M111" s="11"/>
    </row>
    <row r="112" spans="1:14" ht="15" customHeight="1" x14ac:dyDescent="0.25">
      <c r="A112" s="24" t="s">
        <v>2</v>
      </c>
      <c r="B112" s="276" t="s">
        <v>63</v>
      </c>
      <c r="C112" s="276"/>
      <c r="D112" s="276"/>
      <c r="E112" s="276"/>
      <c r="F112" s="276"/>
      <c r="G112" s="276"/>
      <c r="H112" s="210"/>
      <c r="I112" s="210"/>
      <c r="J112" s="34">
        <v>0.06</v>
      </c>
      <c r="K112" s="35">
        <f>J128*J112</f>
        <v>359.10483501017029</v>
      </c>
      <c r="L112" s="11"/>
      <c r="M112" s="11"/>
      <c r="N112" s="53"/>
    </row>
    <row r="113" spans="1:14" ht="15" customHeight="1" x14ac:dyDescent="0.25">
      <c r="A113" s="24" t="s">
        <v>3</v>
      </c>
      <c r="B113" s="276" t="s">
        <v>28</v>
      </c>
      <c r="C113" s="276"/>
      <c r="D113" s="276"/>
      <c r="E113" s="276"/>
      <c r="F113" s="276"/>
      <c r="G113" s="276"/>
      <c r="H113" s="210"/>
      <c r="I113" s="210"/>
      <c r="J113" s="34">
        <v>6.7900000000000002E-2</v>
      </c>
      <c r="K113" s="35">
        <f>(K112+J128)*J113</f>
        <v>430.77018991703329</v>
      </c>
      <c r="L113" s="11"/>
      <c r="M113" s="11"/>
      <c r="N113" s="52"/>
    </row>
    <row r="114" spans="1:14" ht="15" customHeight="1" x14ac:dyDescent="0.25">
      <c r="A114" s="24" t="s">
        <v>4</v>
      </c>
      <c r="B114" s="276" t="s">
        <v>29</v>
      </c>
      <c r="C114" s="276"/>
      <c r="D114" s="276"/>
      <c r="E114" s="276"/>
      <c r="F114" s="276"/>
      <c r="G114" s="276"/>
      <c r="H114" s="210"/>
      <c r="I114" s="210"/>
      <c r="J114" s="34">
        <f>SUM(J115:J117)</f>
        <v>8.6499999999999994E-2</v>
      </c>
      <c r="K114" s="35"/>
      <c r="L114" s="11"/>
      <c r="M114" s="11"/>
    </row>
    <row r="115" spans="1:14" ht="15" customHeight="1" x14ac:dyDescent="0.25">
      <c r="A115" s="292" t="s">
        <v>62</v>
      </c>
      <c r="B115" s="292"/>
      <c r="C115" s="293" t="s">
        <v>61</v>
      </c>
      <c r="D115" s="25" t="s">
        <v>30</v>
      </c>
      <c r="E115" s="26"/>
      <c r="F115" s="26"/>
      <c r="G115" s="28"/>
      <c r="H115" s="28"/>
      <c r="I115" s="28"/>
      <c r="J115" s="34">
        <v>6.4999999999999997E-3</v>
      </c>
      <c r="K115" s="35">
        <f>((J128+K112+K113)/(1-(J114)))*J115</f>
        <v>48.207128029332537</v>
      </c>
      <c r="L115" s="11"/>
      <c r="M115" s="11"/>
    </row>
    <row r="116" spans="1:14" ht="15" customHeight="1" x14ac:dyDescent="0.25">
      <c r="A116" s="292" t="s">
        <v>60</v>
      </c>
      <c r="B116" s="292"/>
      <c r="C116" s="294"/>
      <c r="D116" s="25" t="s">
        <v>31</v>
      </c>
      <c r="E116" s="26"/>
      <c r="F116" s="26"/>
      <c r="G116" s="28"/>
      <c r="H116" s="28"/>
      <c r="I116" s="28"/>
      <c r="J116" s="34">
        <v>0.03</v>
      </c>
      <c r="K116" s="35">
        <f>((J128+K112+K113)/(1-(J114)))*J116</f>
        <v>222.49443705845786</v>
      </c>
      <c r="L116" s="11"/>
      <c r="M116" s="11"/>
    </row>
    <row r="117" spans="1:14" ht="15" customHeight="1" x14ac:dyDescent="0.25">
      <c r="A117" s="292" t="s">
        <v>59</v>
      </c>
      <c r="B117" s="292"/>
      <c r="C117" s="36" t="s">
        <v>58</v>
      </c>
      <c r="D117" s="25" t="s">
        <v>32</v>
      </c>
      <c r="E117" s="26"/>
      <c r="F117" s="26"/>
      <c r="G117" s="28"/>
      <c r="H117" s="28"/>
      <c r="I117" s="28"/>
      <c r="J117" s="34">
        <v>0.05</v>
      </c>
      <c r="K117" s="35">
        <f>((J128+K112+K113)/(1-(J114)))*J117</f>
        <v>370.82406176409648</v>
      </c>
      <c r="L117" s="11"/>
      <c r="M117" s="11"/>
    </row>
    <row r="118" spans="1:14" ht="15" customHeight="1" x14ac:dyDescent="0.25">
      <c r="A118" s="278" t="s">
        <v>37</v>
      </c>
      <c r="B118" s="278"/>
      <c r="C118" s="278"/>
      <c r="D118" s="278"/>
      <c r="E118" s="278"/>
      <c r="F118" s="278"/>
      <c r="G118" s="278"/>
      <c r="H118" s="39"/>
      <c r="I118" s="39"/>
      <c r="J118" s="38">
        <f>J114+J113+J112</f>
        <v>0.21439999999999998</v>
      </c>
      <c r="K118" s="37">
        <f>J128*J118</f>
        <v>1283.2012771030086</v>
      </c>
      <c r="L118" s="11"/>
      <c r="M118" s="11"/>
    </row>
    <row r="119" spans="1:14" ht="15" customHeight="1" x14ac:dyDescent="0.25">
      <c r="A119" s="290"/>
      <c r="B119" s="290"/>
      <c r="C119" s="290"/>
      <c r="D119" s="290"/>
      <c r="E119" s="290"/>
      <c r="F119" s="290"/>
      <c r="G119" s="290"/>
      <c r="H119" s="290"/>
      <c r="I119" s="290"/>
      <c r="J119" s="290"/>
      <c r="K119" s="290"/>
      <c r="L119" s="11"/>
      <c r="M119" s="11"/>
    </row>
    <row r="120" spans="1:14" ht="15" customHeight="1" x14ac:dyDescent="0.25">
      <c r="A120" s="285" t="s">
        <v>33</v>
      </c>
      <c r="B120" s="285"/>
      <c r="C120" s="285"/>
      <c r="D120" s="285"/>
      <c r="E120" s="285"/>
      <c r="F120" s="285"/>
      <c r="G120" s="285"/>
      <c r="H120" s="285"/>
      <c r="I120" s="285"/>
      <c r="J120" s="285"/>
      <c r="K120" s="285"/>
      <c r="L120" s="11"/>
      <c r="M120" s="11"/>
    </row>
    <row r="121" spans="1:14" ht="15" customHeight="1" x14ac:dyDescent="0.25">
      <c r="A121" s="291"/>
      <c r="B121" s="291"/>
      <c r="C121" s="291"/>
      <c r="D121" s="291"/>
      <c r="E121" s="291"/>
      <c r="F121" s="291"/>
      <c r="G121" s="291"/>
      <c r="H121" s="291"/>
      <c r="I121" s="291"/>
      <c r="J121" s="291"/>
      <c r="K121" s="291"/>
      <c r="L121" s="11"/>
      <c r="M121" s="11"/>
    </row>
    <row r="122" spans="1:14" ht="15" customHeight="1" x14ac:dyDescent="0.25">
      <c r="A122" s="278" t="s">
        <v>57</v>
      </c>
      <c r="B122" s="278"/>
      <c r="C122" s="278"/>
      <c r="D122" s="278"/>
      <c r="E122" s="278"/>
      <c r="F122" s="278"/>
      <c r="G122" s="278"/>
      <c r="H122" s="39"/>
      <c r="I122" s="39"/>
      <c r="J122" s="278" t="s">
        <v>10</v>
      </c>
      <c r="K122" s="278"/>
      <c r="L122" s="11"/>
      <c r="M122" s="11"/>
    </row>
    <row r="123" spans="1:14" ht="15" customHeight="1" x14ac:dyDescent="0.25">
      <c r="A123" s="24" t="s">
        <v>2</v>
      </c>
      <c r="B123" s="276" t="s">
        <v>34</v>
      </c>
      <c r="C123" s="276"/>
      <c r="D123" s="276"/>
      <c r="E123" s="276"/>
      <c r="F123" s="276"/>
      <c r="G123" s="276"/>
      <c r="H123" s="210"/>
      <c r="I123" s="210"/>
      <c r="J123" s="277">
        <f>J34</f>
        <v>2799.5074545454545</v>
      </c>
      <c r="K123" s="277"/>
      <c r="L123" s="11"/>
      <c r="M123" s="11"/>
    </row>
    <row r="124" spans="1:14" ht="15" customHeight="1" x14ac:dyDescent="0.25">
      <c r="A124" s="24" t="s">
        <v>3</v>
      </c>
      <c r="B124" s="276" t="s">
        <v>56</v>
      </c>
      <c r="C124" s="276"/>
      <c r="D124" s="276"/>
      <c r="E124" s="276"/>
      <c r="F124" s="276"/>
      <c r="G124" s="276"/>
      <c r="H124" s="210"/>
      <c r="I124" s="210"/>
      <c r="J124" s="277">
        <f>J71</f>
        <v>2435.3838054869816</v>
      </c>
      <c r="K124" s="277"/>
      <c r="L124" s="11"/>
      <c r="M124" s="11"/>
    </row>
    <row r="125" spans="1:14" ht="15" customHeight="1" x14ac:dyDescent="0.25">
      <c r="A125" s="24" t="s">
        <v>4</v>
      </c>
      <c r="B125" s="276" t="s">
        <v>55</v>
      </c>
      <c r="C125" s="276"/>
      <c r="D125" s="276"/>
      <c r="E125" s="276"/>
      <c r="F125" s="276"/>
      <c r="G125" s="276"/>
      <c r="H125" s="210"/>
      <c r="I125" s="210"/>
      <c r="J125" s="277">
        <f>J81</f>
        <v>190.49248474454544</v>
      </c>
      <c r="K125" s="277"/>
      <c r="L125" s="11"/>
      <c r="M125" s="11"/>
    </row>
    <row r="126" spans="1:14" ht="15" customHeight="1" x14ac:dyDescent="0.25">
      <c r="A126" s="24" t="s">
        <v>5</v>
      </c>
      <c r="B126" s="276" t="s">
        <v>54</v>
      </c>
      <c r="C126" s="276"/>
      <c r="D126" s="276"/>
      <c r="E126" s="276"/>
      <c r="F126" s="276"/>
      <c r="G126" s="276"/>
      <c r="H126" s="210"/>
      <c r="I126" s="210"/>
      <c r="J126" s="277">
        <f>J100</f>
        <v>216.47934817030099</v>
      </c>
      <c r="K126" s="277"/>
      <c r="L126" s="11"/>
      <c r="M126" s="11"/>
    </row>
    <row r="127" spans="1:14" ht="15" customHeight="1" x14ac:dyDescent="0.25">
      <c r="A127" s="24" t="s">
        <v>11</v>
      </c>
      <c r="B127" s="276" t="s">
        <v>53</v>
      </c>
      <c r="C127" s="276"/>
      <c r="D127" s="276"/>
      <c r="E127" s="276"/>
      <c r="F127" s="276"/>
      <c r="G127" s="276"/>
      <c r="H127" s="210"/>
      <c r="I127" s="210"/>
      <c r="J127" s="277">
        <f>J108</f>
        <v>343.21749055555557</v>
      </c>
      <c r="K127" s="277"/>
      <c r="L127" s="11"/>
      <c r="M127" s="11"/>
    </row>
    <row r="128" spans="1:14" ht="15" customHeight="1" x14ac:dyDescent="0.25">
      <c r="A128" s="278" t="s">
        <v>52</v>
      </c>
      <c r="B128" s="278"/>
      <c r="C128" s="278"/>
      <c r="D128" s="278"/>
      <c r="E128" s="278"/>
      <c r="F128" s="278"/>
      <c r="G128" s="278"/>
      <c r="H128" s="39"/>
      <c r="I128" s="39"/>
      <c r="J128" s="289">
        <f>SUM(J123:K127)</f>
        <v>5985.0805835028386</v>
      </c>
      <c r="K128" s="289"/>
      <c r="L128" s="11"/>
      <c r="M128" s="11"/>
    </row>
    <row r="129" spans="1:13" ht="15" customHeight="1" x14ac:dyDescent="0.25">
      <c r="A129" s="24" t="s">
        <v>12</v>
      </c>
      <c r="B129" s="276" t="s">
        <v>51</v>
      </c>
      <c r="C129" s="276"/>
      <c r="D129" s="276"/>
      <c r="E129" s="276"/>
      <c r="F129" s="276"/>
      <c r="G129" s="276"/>
      <c r="H129" s="210"/>
      <c r="I129" s="210"/>
      <c r="J129" s="277">
        <f>K118</f>
        <v>1283.2012771030086</v>
      </c>
      <c r="K129" s="277"/>
      <c r="L129" s="11"/>
      <c r="M129" s="11"/>
    </row>
    <row r="130" spans="1:13" ht="15" customHeight="1" x14ac:dyDescent="0.25">
      <c r="A130" s="278" t="s">
        <v>50</v>
      </c>
      <c r="B130" s="278"/>
      <c r="C130" s="278"/>
      <c r="D130" s="278"/>
      <c r="E130" s="278"/>
      <c r="F130" s="278"/>
      <c r="G130" s="278"/>
      <c r="H130" s="39"/>
      <c r="I130" s="39"/>
      <c r="J130" s="395">
        <f>SUM(J128:J129)+J138</f>
        <v>7312.9864722026787</v>
      </c>
      <c r="K130" s="395"/>
      <c r="L130" s="11"/>
      <c r="M130" s="11"/>
    </row>
    <row r="131" spans="1:13" ht="15" hidden="1" customHeight="1" x14ac:dyDescent="0.25">
      <c r="K131" s="206">
        <f>J130</f>
        <v>7312.9864722026787</v>
      </c>
      <c r="M131" s="46"/>
    </row>
    <row r="132" spans="1:13" ht="15" customHeight="1" x14ac:dyDescent="0.25">
      <c r="A132" s="285" t="s">
        <v>150</v>
      </c>
      <c r="B132" s="285"/>
      <c r="C132" s="285"/>
      <c r="D132" s="285"/>
      <c r="E132" s="285"/>
      <c r="F132" s="285"/>
      <c r="G132" s="285"/>
      <c r="H132" s="285"/>
      <c r="I132" s="285"/>
      <c r="J132" s="285"/>
      <c r="K132" s="285"/>
    </row>
    <row r="133" spans="1:13" ht="15" customHeight="1" x14ac:dyDescent="0.25">
      <c r="A133" s="286" t="s">
        <v>282</v>
      </c>
      <c r="B133" s="287"/>
      <c r="C133" s="287"/>
      <c r="D133" s="287"/>
      <c r="E133" s="287"/>
      <c r="F133" s="287"/>
      <c r="G133" s="287"/>
      <c r="H133" s="287"/>
      <c r="I133" s="287"/>
      <c r="J133" s="287"/>
      <c r="K133" s="288"/>
    </row>
    <row r="134" spans="1:13" ht="15" customHeight="1" x14ac:dyDescent="0.25">
      <c r="A134" s="278" t="s">
        <v>151</v>
      </c>
      <c r="B134" s="278"/>
      <c r="C134" s="278"/>
      <c r="D134" s="278"/>
      <c r="E134" s="278"/>
      <c r="F134" s="278"/>
      <c r="G134" s="278"/>
      <c r="H134" s="281" t="s">
        <v>319</v>
      </c>
      <c r="I134" s="282"/>
      <c r="J134" s="278" t="s">
        <v>10</v>
      </c>
      <c r="K134" s="278"/>
      <c r="L134" s="11"/>
      <c r="M134" s="11"/>
    </row>
    <row r="135" spans="1:13" ht="15" customHeight="1" x14ac:dyDescent="0.25">
      <c r="A135" s="24" t="s">
        <v>2</v>
      </c>
      <c r="B135" s="276" t="s">
        <v>278</v>
      </c>
      <c r="C135" s="276"/>
      <c r="D135" s="276"/>
      <c r="E135" s="276"/>
      <c r="F135" s="276"/>
      <c r="G135" s="276"/>
      <c r="H135" s="283">
        <v>8.3299999999999999E-2</v>
      </c>
      <c r="I135" s="284"/>
      <c r="J135" s="277">
        <f>K38</f>
        <v>233.19897096363636</v>
      </c>
      <c r="K135" s="277"/>
      <c r="L135" s="11"/>
      <c r="M135" s="11"/>
    </row>
    <row r="136" spans="1:13" ht="15" customHeight="1" x14ac:dyDescent="0.25">
      <c r="A136" s="24" t="s">
        <v>3</v>
      </c>
      <c r="B136" s="276" t="s">
        <v>279</v>
      </c>
      <c r="C136" s="276"/>
      <c r="D136" s="276"/>
      <c r="E136" s="276"/>
      <c r="F136" s="276"/>
      <c r="G136" s="276"/>
      <c r="H136" s="283">
        <v>0.121</v>
      </c>
      <c r="I136" s="284"/>
      <c r="J136" s="277">
        <f>K39</f>
        <v>338.74040199999996</v>
      </c>
      <c r="K136" s="277"/>
      <c r="L136" s="11"/>
      <c r="M136" s="11"/>
    </row>
    <row r="137" spans="1:13" ht="15" customHeight="1" x14ac:dyDescent="0.25">
      <c r="A137" s="24" t="s">
        <v>4</v>
      </c>
      <c r="B137" s="276" t="s">
        <v>320</v>
      </c>
      <c r="C137" s="276"/>
      <c r="D137" s="276"/>
      <c r="E137" s="276"/>
      <c r="F137" s="276"/>
      <c r="G137" s="276"/>
      <c r="H137" s="283">
        <v>0.04</v>
      </c>
      <c r="I137" s="284"/>
      <c r="J137" s="277">
        <f>(J77+J80)*(J26+J27+J29+J30)</f>
        <v>111.98029818181818</v>
      </c>
      <c r="K137" s="277"/>
      <c r="L137" s="11"/>
      <c r="M137" s="11"/>
    </row>
    <row r="138" spans="1:13" ht="15" customHeight="1" x14ac:dyDescent="0.25">
      <c r="A138" s="24" t="s">
        <v>5</v>
      </c>
      <c r="B138" s="276" t="s">
        <v>280</v>
      </c>
      <c r="C138" s="276"/>
      <c r="D138" s="276"/>
      <c r="E138" s="276"/>
      <c r="F138" s="276"/>
      <c r="G138" s="276"/>
      <c r="H138" s="283">
        <f>(0.368-0.03+J45)*0.2124</f>
        <v>7.8163200000000002E-2</v>
      </c>
      <c r="I138" s="284"/>
      <c r="J138" s="277">
        <f>(J51*(J40+0.81%))*K40</f>
        <v>44.704611596831299</v>
      </c>
      <c r="K138" s="277"/>
      <c r="L138" s="11"/>
      <c r="M138" s="11"/>
    </row>
    <row r="139" spans="1:13" ht="15" customHeight="1" x14ac:dyDescent="0.25">
      <c r="A139" s="278" t="s">
        <v>152</v>
      </c>
      <c r="B139" s="278"/>
      <c r="C139" s="278"/>
      <c r="D139" s="278"/>
      <c r="E139" s="278"/>
      <c r="F139" s="278"/>
      <c r="G139" s="278"/>
      <c r="H139" s="235" t="s">
        <v>323</v>
      </c>
      <c r="I139" s="236">
        <f>SUM(H135,H136,H137,H138)</f>
        <v>0.32246320000000001</v>
      </c>
      <c r="J139" s="395">
        <f>SUM(J135:K138)</f>
        <v>728.6242827422858</v>
      </c>
      <c r="K139" s="395"/>
      <c r="L139" s="11"/>
      <c r="M139" s="11"/>
    </row>
    <row r="140" spans="1:13" ht="15" customHeight="1" x14ac:dyDescent="0.25">
      <c r="K140" s="206">
        <f>J139</f>
        <v>728.6242827422858</v>
      </c>
    </row>
  </sheetData>
  <mergeCells count="196">
    <mergeCell ref="A1:K1"/>
    <mergeCell ref="A2:K2"/>
    <mergeCell ref="C3:K3"/>
    <mergeCell ref="C4:D4"/>
    <mergeCell ref="A6:K6"/>
    <mergeCell ref="A7:K7"/>
    <mergeCell ref="J30:K30"/>
    <mergeCell ref="G11:K11"/>
    <mergeCell ref="A12:K12"/>
    <mergeCell ref="B13:G13"/>
    <mergeCell ref="J13:K13"/>
    <mergeCell ref="B14:G14"/>
    <mergeCell ref="J14:K14"/>
    <mergeCell ref="B8:F8"/>
    <mergeCell ref="G8:K8"/>
    <mergeCell ref="B9:F9"/>
    <mergeCell ref="G9:K9"/>
    <mergeCell ref="B10:F10"/>
    <mergeCell ref="G10:K10"/>
    <mergeCell ref="B20:G20"/>
    <mergeCell ref="J20:K20"/>
    <mergeCell ref="B21:G21"/>
    <mergeCell ref="J21:K21"/>
    <mergeCell ref="B22:G22"/>
    <mergeCell ref="J22:K22"/>
    <mergeCell ref="C15:K15"/>
    <mergeCell ref="A16:K16"/>
    <mergeCell ref="A17:K17"/>
    <mergeCell ref="A18:K18"/>
    <mergeCell ref="B19:G19"/>
    <mergeCell ref="J19:K19"/>
    <mergeCell ref="J27:K27"/>
    <mergeCell ref="F28:G28"/>
    <mergeCell ref="J28:K28"/>
    <mergeCell ref="B29:G29"/>
    <mergeCell ref="J29:K29"/>
    <mergeCell ref="B31:G31"/>
    <mergeCell ref="J31:K31"/>
    <mergeCell ref="B23:G23"/>
    <mergeCell ref="J23:K23"/>
    <mergeCell ref="A24:K24"/>
    <mergeCell ref="B25:G25"/>
    <mergeCell ref="J25:K25"/>
    <mergeCell ref="B26:G26"/>
    <mergeCell ref="J26:K26"/>
    <mergeCell ref="A34:G34"/>
    <mergeCell ref="J34:K34"/>
    <mergeCell ref="A35:K35"/>
    <mergeCell ref="A36:K36"/>
    <mergeCell ref="B37:G37"/>
    <mergeCell ref="B38:G38"/>
    <mergeCell ref="B32:G32"/>
    <mergeCell ref="J32:K32"/>
    <mergeCell ref="M32:U32"/>
    <mergeCell ref="B33:G33"/>
    <mergeCell ref="J33:K33"/>
    <mergeCell ref="M33:Q33"/>
    <mergeCell ref="B46:G46"/>
    <mergeCell ref="B47:G47"/>
    <mergeCell ref="B48:G48"/>
    <mergeCell ref="B49:G49"/>
    <mergeCell ref="B50:G50"/>
    <mergeCell ref="A51:G51"/>
    <mergeCell ref="B39:G39"/>
    <mergeCell ref="A41:K41"/>
    <mergeCell ref="B42:G42"/>
    <mergeCell ref="B43:G43"/>
    <mergeCell ref="B44:G44"/>
    <mergeCell ref="B45:G45"/>
    <mergeCell ref="M56:N56"/>
    <mergeCell ref="M57:N57"/>
    <mergeCell ref="B58:C58"/>
    <mergeCell ref="J58:K58"/>
    <mergeCell ref="A52:K52"/>
    <mergeCell ref="B53:G53"/>
    <mergeCell ref="J53:K53"/>
    <mergeCell ref="M53:N53"/>
    <mergeCell ref="A54:A55"/>
    <mergeCell ref="B54:B55"/>
    <mergeCell ref="J54:K54"/>
    <mergeCell ref="M54:N54"/>
    <mergeCell ref="J55:K55"/>
    <mergeCell ref="M55:N55"/>
    <mergeCell ref="B59:G59"/>
    <mergeCell ref="J59:K59"/>
    <mergeCell ref="B60:G60"/>
    <mergeCell ref="J60:K60"/>
    <mergeCell ref="J62:K62"/>
    <mergeCell ref="A63:G63"/>
    <mergeCell ref="J63:K63"/>
    <mergeCell ref="A56:A57"/>
    <mergeCell ref="B56:C57"/>
    <mergeCell ref="J56:K57"/>
    <mergeCell ref="B69:G69"/>
    <mergeCell ref="J69:K69"/>
    <mergeCell ref="B70:G70"/>
    <mergeCell ref="J70:K70"/>
    <mergeCell ref="A71:G71"/>
    <mergeCell ref="J71:K71"/>
    <mergeCell ref="A64:K64"/>
    <mergeCell ref="A65:K65"/>
    <mergeCell ref="A66:K66"/>
    <mergeCell ref="B67:G67"/>
    <mergeCell ref="J67:K67"/>
    <mergeCell ref="B68:G68"/>
    <mergeCell ref="J68:K68"/>
    <mergeCell ref="M77:AB77"/>
    <mergeCell ref="B78:G78"/>
    <mergeCell ref="M79:P79"/>
    <mergeCell ref="M80:Q80"/>
    <mergeCell ref="J81:K81"/>
    <mergeCell ref="A82:K82"/>
    <mergeCell ref="M82:AB82"/>
    <mergeCell ref="A72:K72"/>
    <mergeCell ref="A73:K73"/>
    <mergeCell ref="M73:P73"/>
    <mergeCell ref="M74:P74"/>
    <mergeCell ref="B75:G75"/>
    <mergeCell ref="M75:AC75"/>
    <mergeCell ref="A95:K95"/>
    <mergeCell ref="A96:K96"/>
    <mergeCell ref="A97:K97"/>
    <mergeCell ref="J98:K98"/>
    <mergeCell ref="J99:K99"/>
    <mergeCell ref="J100:K100"/>
    <mergeCell ref="A83:K83"/>
    <mergeCell ref="A84:K84"/>
    <mergeCell ref="M84:AP84"/>
    <mergeCell ref="B85:G85"/>
    <mergeCell ref="B92:G92"/>
    <mergeCell ref="A94:G94"/>
    <mergeCell ref="B105:G105"/>
    <mergeCell ref="J105:K105"/>
    <mergeCell ref="B106:G106"/>
    <mergeCell ref="J106:K106"/>
    <mergeCell ref="B107:G107"/>
    <mergeCell ref="J107:K107"/>
    <mergeCell ref="A101:K101"/>
    <mergeCell ref="A102:K102"/>
    <mergeCell ref="B103:G103"/>
    <mergeCell ref="J103:K103"/>
    <mergeCell ref="B104:G104"/>
    <mergeCell ref="J104:K104"/>
    <mergeCell ref="B113:G113"/>
    <mergeCell ref="B114:G114"/>
    <mergeCell ref="A115:B115"/>
    <mergeCell ref="C115:C116"/>
    <mergeCell ref="A116:B116"/>
    <mergeCell ref="A117:B117"/>
    <mergeCell ref="A108:G108"/>
    <mergeCell ref="J108:K108"/>
    <mergeCell ref="A109:K109"/>
    <mergeCell ref="A110:K110"/>
    <mergeCell ref="B111:G111"/>
    <mergeCell ref="B112:G112"/>
    <mergeCell ref="B123:G123"/>
    <mergeCell ref="J123:K123"/>
    <mergeCell ref="B124:G124"/>
    <mergeCell ref="J124:K124"/>
    <mergeCell ref="B125:G125"/>
    <mergeCell ref="J125:K125"/>
    <mergeCell ref="A118:G118"/>
    <mergeCell ref="A119:K119"/>
    <mergeCell ref="A120:K120"/>
    <mergeCell ref="A121:K121"/>
    <mergeCell ref="A122:G122"/>
    <mergeCell ref="J122:K122"/>
    <mergeCell ref="B129:G129"/>
    <mergeCell ref="J129:K129"/>
    <mergeCell ref="A130:G130"/>
    <mergeCell ref="J130:K130"/>
    <mergeCell ref="A132:K132"/>
    <mergeCell ref="A133:K133"/>
    <mergeCell ref="B126:G126"/>
    <mergeCell ref="J126:K126"/>
    <mergeCell ref="B127:G127"/>
    <mergeCell ref="J127:K127"/>
    <mergeCell ref="A128:G128"/>
    <mergeCell ref="J128:K128"/>
    <mergeCell ref="B137:G137"/>
    <mergeCell ref="J137:K137"/>
    <mergeCell ref="B138:G138"/>
    <mergeCell ref="J138:K138"/>
    <mergeCell ref="A139:G139"/>
    <mergeCell ref="J139:K139"/>
    <mergeCell ref="A134:G134"/>
    <mergeCell ref="J134:K134"/>
    <mergeCell ref="B135:G135"/>
    <mergeCell ref="J135:K135"/>
    <mergeCell ref="B136:G136"/>
    <mergeCell ref="J136:K136"/>
    <mergeCell ref="H134:I134"/>
    <mergeCell ref="H135:I135"/>
    <mergeCell ref="H136:I136"/>
    <mergeCell ref="H137:I137"/>
    <mergeCell ref="H138:I138"/>
  </mergeCells>
  <dataValidations count="1">
    <dataValidation allowBlank="1" sqref="A1 A120" xr:uid="{D06FD3A0-3576-4EB5-9E59-9BCA316F6335}"/>
  </dataValidations>
  <printOptions horizontalCentered="1"/>
  <pageMargins left="7.874015748031496E-2" right="7.874015748031496E-2" top="1.7716535433070868" bottom="1.3779527559055118" header="0.31496062992125984" footer="0.31496062992125984"/>
  <pageSetup paperSize="9" scale="83" orientation="portrait" r:id="rId1"/>
  <rowBreaks count="2" manualBreakCount="2">
    <brk id="48" max="8" man="1"/>
    <brk id="101"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C5FBD-388C-436F-B4AB-BAB7143E94A0}">
  <sheetPr>
    <tabColor theme="3" tint="0.59999389629810485"/>
  </sheetPr>
  <dimension ref="A1:Q19"/>
  <sheetViews>
    <sheetView showGridLines="0" topLeftCell="A6" workbookViewId="0">
      <selection activeCell="H17" sqref="H17"/>
    </sheetView>
  </sheetViews>
  <sheetFormatPr defaultRowHeight="15" x14ac:dyDescent="0.25"/>
  <cols>
    <col min="2" max="2" width="51.28515625" bestFit="1" customWidth="1"/>
    <col min="3" max="3" width="13.5703125" bestFit="1" customWidth="1"/>
    <col min="4" max="4" width="13.28515625" customWidth="1"/>
    <col min="5" max="5" width="13.7109375" customWidth="1"/>
    <col min="6" max="6" width="14" customWidth="1"/>
    <col min="7" max="7" width="16.42578125" bestFit="1" customWidth="1"/>
    <col min="8" max="8" width="14.42578125" bestFit="1" customWidth="1"/>
    <col min="9" max="9" width="24.5703125" bestFit="1" customWidth="1"/>
    <col min="10" max="11" width="24.5703125" customWidth="1"/>
    <col min="12" max="12" width="17.28515625" bestFit="1" customWidth="1"/>
    <col min="13" max="13" width="15.28515625" customWidth="1"/>
    <col min="14" max="14" width="12.5703125" bestFit="1" customWidth="1"/>
    <col min="17" max="17" width="9.5703125" bestFit="1" customWidth="1"/>
  </cols>
  <sheetData>
    <row r="1" spans="1:17" ht="19.5" customHeight="1" x14ac:dyDescent="0.25">
      <c r="A1" s="399" t="s">
        <v>38</v>
      </c>
      <c r="B1" s="399"/>
      <c r="C1" s="399"/>
      <c r="D1" s="399"/>
      <c r="E1" s="399"/>
      <c r="F1" s="399"/>
      <c r="G1" s="399"/>
      <c r="H1" s="399"/>
      <c r="I1" s="399"/>
      <c r="J1" s="399"/>
      <c r="K1" s="399"/>
      <c r="L1" s="399"/>
      <c r="M1" s="139"/>
      <c r="N1" s="139"/>
    </row>
    <row r="2" spans="1:17" ht="30" x14ac:dyDescent="0.25">
      <c r="A2" s="140" t="s">
        <v>39</v>
      </c>
      <c r="B2" s="140" t="s">
        <v>40</v>
      </c>
      <c r="C2" s="140" t="s">
        <v>135</v>
      </c>
      <c r="D2" s="140" t="s">
        <v>41</v>
      </c>
      <c r="E2" s="140" t="s">
        <v>42</v>
      </c>
      <c r="F2" s="72" t="s">
        <v>43</v>
      </c>
      <c r="G2" s="72" t="s">
        <v>234</v>
      </c>
      <c r="H2" s="72" t="s">
        <v>192</v>
      </c>
      <c r="I2" s="72" t="s">
        <v>148</v>
      </c>
      <c r="J2" s="76" t="s">
        <v>193</v>
      </c>
      <c r="K2" s="76" t="s">
        <v>220</v>
      </c>
      <c r="L2" s="154" t="s">
        <v>213</v>
      </c>
      <c r="N2" s="139"/>
    </row>
    <row r="3" spans="1:17" ht="96.75" customHeight="1" x14ac:dyDescent="0.25">
      <c r="A3" s="73">
        <v>1</v>
      </c>
      <c r="B3" s="74" t="s">
        <v>212</v>
      </c>
      <c r="C3" s="73">
        <v>2</v>
      </c>
      <c r="D3" s="75"/>
      <c r="E3" s="75"/>
      <c r="F3" s="75"/>
      <c r="G3" s="77">
        <v>2674.5</v>
      </c>
      <c r="H3" s="77">
        <f>C3*G3</f>
        <v>5349</v>
      </c>
      <c r="I3" s="141">
        <f>H3/12</f>
        <v>445.75</v>
      </c>
      <c r="J3" s="142">
        <f t="shared" ref="J3:J11" si="0">I3/15</f>
        <v>29.716666666666665</v>
      </c>
      <c r="K3" s="142" t="s">
        <v>221</v>
      </c>
      <c r="L3" s="156">
        <v>614635</v>
      </c>
      <c r="N3" s="139"/>
    </row>
    <row r="4" spans="1:17" ht="47.25" customHeight="1" x14ac:dyDescent="0.25">
      <c r="A4" s="73">
        <v>2</v>
      </c>
      <c r="B4" s="74" t="s">
        <v>232</v>
      </c>
      <c r="C4" s="73">
        <v>8</v>
      </c>
      <c r="D4" s="75"/>
      <c r="E4" s="75"/>
      <c r="F4" s="75"/>
      <c r="G4" s="77">
        <v>80.063299999999998</v>
      </c>
      <c r="H4" s="77">
        <f t="shared" ref="H4:H11" si="1">C4*G4</f>
        <v>640.50639999999999</v>
      </c>
      <c r="I4" s="141">
        <f t="shared" ref="I4:I11" si="2">H4/12</f>
        <v>53.37553333333333</v>
      </c>
      <c r="J4" s="142">
        <f t="shared" si="0"/>
        <v>3.5583688888888885</v>
      </c>
      <c r="K4" s="142" t="s">
        <v>222</v>
      </c>
      <c r="L4" s="156">
        <v>603553</v>
      </c>
      <c r="N4" s="139"/>
    </row>
    <row r="5" spans="1:17" ht="33.75" customHeight="1" x14ac:dyDescent="0.25">
      <c r="A5" s="73">
        <v>3</v>
      </c>
      <c r="B5" s="74" t="s">
        <v>233</v>
      </c>
      <c r="C5" s="73">
        <v>4</v>
      </c>
      <c r="D5" s="75"/>
      <c r="E5" s="75"/>
      <c r="F5" s="75"/>
      <c r="G5" s="77">
        <v>173.22559999999999</v>
      </c>
      <c r="H5" s="77">
        <f t="shared" si="1"/>
        <v>692.90239999999994</v>
      </c>
      <c r="I5" s="141">
        <f t="shared" si="2"/>
        <v>57.74186666666666</v>
      </c>
      <c r="J5" s="142">
        <f t="shared" si="0"/>
        <v>3.8494577777777774</v>
      </c>
      <c r="K5" s="142" t="s">
        <v>222</v>
      </c>
      <c r="L5" s="156">
        <v>150170</v>
      </c>
      <c r="N5" s="139"/>
    </row>
    <row r="6" spans="1:17" ht="45" customHeight="1" x14ac:dyDescent="0.25">
      <c r="A6" s="73">
        <v>4</v>
      </c>
      <c r="B6" s="74" t="s">
        <v>194</v>
      </c>
      <c r="C6" s="73">
        <v>15</v>
      </c>
      <c r="D6" s="75"/>
      <c r="E6" s="75"/>
      <c r="F6" s="75"/>
      <c r="G6" s="77">
        <v>66.372100000000003</v>
      </c>
      <c r="H6" s="77">
        <f t="shared" si="1"/>
        <v>995.58150000000001</v>
      </c>
      <c r="I6" s="141">
        <f t="shared" si="2"/>
        <v>82.965125</v>
      </c>
      <c r="J6" s="142">
        <f t="shared" si="0"/>
        <v>5.5310083333333333</v>
      </c>
      <c r="K6" s="142" t="s">
        <v>223</v>
      </c>
      <c r="L6" s="156">
        <v>480046</v>
      </c>
      <c r="N6" s="139"/>
    </row>
    <row r="7" spans="1:17" ht="34.5" customHeight="1" x14ac:dyDescent="0.25">
      <c r="A7" s="73">
        <v>5</v>
      </c>
      <c r="B7" s="74" t="s">
        <v>206</v>
      </c>
      <c r="C7" s="73">
        <v>50</v>
      </c>
      <c r="D7" s="75"/>
      <c r="E7" s="75"/>
      <c r="F7" s="75"/>
      <c r="G7" s="77">
        <v>11.983000000000001</v>
      </c>
      <c r="H7" s="77">
        <f t="shared" si="1"/>
        <v>599.15</v>
      </c>
      <c r="I7" s="141">
        <f t="shared" si="2"/>
        <v>49.929166666666667</v>
      </c>
      <c r="J7" s="142">
        <f t="shared" si="0"/>
        <v>3.328611111111111</v>
      </c>
      <c r="K7" s="142" t="s">
        <v>224</v>
      </c>
      <c r="L7" s="156">
        <v>242723</v>
      </c>
      <c r="N7" s="139"/>
    </row>
    <row r="8" spans="1:17" ht="45" customHeight="1" x14ac:dyDescent="0.25">
      <c r="A8" s="73">
        <v>6</v>
      </c>
      <c r="B8" s="74" t="s">
        <v>195</v>
      </c>
      <c r="C8" s="73">
        <v>2</v>
      </c>
      <c r="D8" s="75"/>
      <c r="E8" s="75"/>
      <c r="F8" s="75"/>
      <c r="G8" s="77">
        <v>23.527999999999999</v>
      </c>
      <c r="H8" s="77">
        <f t="shared" si="1"/>
        <v>47.055999999999997</v>
      </c>
      <c r="I8" s="141">
        <f t="shared" si="2"/>
        <v>3.9213333333333331</v>
      </c>
      <c r="J8" s="142">
        <f t="shared" si="0"/>
        <v>0.26142222222222222</v>
      </c>
      <c r="K8" s="142" t="s">
        <v>225</v>
      </c>
      <c r="L8" s="156">
        <v>463253</v>
      </c>
      <c r="N8" s="139"/>
    </row>
    <row r="9" spans="1:17" ht="46.5" customHeight="1" x14ac:dyDescent="0.25">
      <c r="A9" s="73">
        <v>7</v>
      </c>
      <c r="B9" s="74" t="s">
        <v>196</v>
      </c>
      <c r="C9" s="73">
        <v>15</v>
      </c>
      <c r="D9" s="75"/>
      <c r="E9" s="75"/>
      <c r="F9" s="75"/>
      <c r="G9" s="77">
        <v>49.591299999999997</v>
      </c>
      <c r="H9" s="77">
        <f t="shared" si="1"/>
        <v>743.8694999999999</v>
      </c>
      <c r="I9" s="141">
        <f t="shared" si="2"/>
        <v>61.989124999999994</v>
      </c>
      <c r="J9" s="142">
        <f t="shared" si="0"/>
        <v>4.1326083333333328</v>
      </c>
      <c r="K9" s="142" t="s">
        <v>222</v>
      </c>
      <c r="L9" s="156">
        <v>484515</v>
      </c>
      <c r="N9" s="139"/>
    </row>
    <row r="10" spans="1:17" ht="30" customHeight="1" x14ac:dyDescent="0.25">
      <c r="A10" s="73">
        <v>8</v>
      </c>
      <c r="B10" s="74" t="s">
        <v>219</v>
      </c>
      <c r="C10" s="73">
        <v>15</v>
      </c>
      <c r="D10" s="75"/>
      <c r="E10" s="75"/>
      <c r="F10" s="75"/>
      <c r="G10" s="77">
        <v>21.6295</v>
      </c>
      <c r="H10" s="77">
        <f t="shared" si="1"/>
        <v>324.4425</v>
      </c>
      <c r="I10" s="141">
        <f t="shared" si="2"/>
        <v>27.036874999999998</v>
      </c>
      <c r="J10" s="142">
        <f t="shared" si="0"/>
        <v>1.8024583333333333</v>
      </c>
      <c r="K10" s="142" t="s">
        <v>222</v>
      </c>
      <c r="L10" s="156" t="s">
        <v>218</v>
      </c>
      <c r="N10" s="143"/>
      <c r="Q10" s="93"/>
    </row>
    <row r="11" spans="1:17" ht="30" x14ac:dyDescent="0.25">
      <c r="A11" s="73">
        <v>9</v>
      </c>
      <c r="B11" s="74" t="s">
        <v>197</v>
      </c>
      <c r="C11" s="73">
        <v>4</v>
      </c>
      <c r="D11" s="75"/>
      <c r="E11" s="75"/>
      <c r="F11" s="75"/>
      <c r="G11" s="77">
        <v>72.543199999999999</v>
      </c>
      <c r="H11" s="77">
        <f t="shared" si="1"/>
        <v>290.1728</v>
      </c>
      <c r="I11" s="141">
        <f t="shared" si="2"/>
        <v>24.181066666666666</v>
      </c>
      <c r="J11" s="142">
        <f t="shared" si="0"/>
        <v>1.612071111111111</v>
      </c>
      <c r="K11" s="142" t="s">
        <v>222</v>
      </c>
      <c r="L11" s="156">
        <v>455619</v>
      </c>
      <c r="N11" s="143"/>
    </row>
    <row r="12" spans="1:17" x14ac:dyDescent="0.25">
      <c r="A12" s="401" t="s">
        <v>141</v>
      </c>
      <c r="B12" s="401"/>
      <c r="C12" s="401"/>
      <c r="D12" s="401"/>
      <c r="E12" s="401"/>
      <c r="F12" s="401"/>
      <c r="G12" s="401"/>
      <c r="H12" s="144">
        <f>SUM(H3:H11)</f>
        <v>9682.6811000000016</v>
      </c>
      <c r="I12" s="144">
        <f>SUM(I3:I11)</f>
        <v>806.89009166666665</v>
      </c>
      <c r="J12" s="145">
        <f>SUM(J3:J11)</f>
        <v>53.792672777777774</v>
      </c>
      <c r="K12" s="145"/>
      <c r="L12" s="156"/>
      <c r="N12" s="143"/>
    </row>
    <row r="13" spans="1:17" x14ac:dyDescent="0.25">
      <c r="A13" s="70"/>
      <c r="B13" s="70"/>
      <c r="C13" s="70"/>
      <c r="D13" s="70"/>
      <c r="E13" s="70"/>
      <c r="F13" s="70"/>
      <c r="G13" s="70"/>
      <c r="H13" s="70"/>
      <c r="I13" s="70"/>
      <c r="J13" s="70"/>
      <c r="K13" s="70"/>
      <c r="L13" s="71"/>
      <c r="N13" s="139"/>
    </row>
    <row r="14" spans="1:17" ht="21.75" customHeight="1" x14ac:dyDescent="0.25">
      <c r="A14" s="399" t="s">
        <v>44</v>
      </c>
      <c r="B14" s="399"/>
      <c r="C14" s="399"/>
      <c r="D14" s="399"/>
      <c r="E14" s="399"/>
      <c r="F14" s="399"/>
      <c r="G14" s="399"/>
      <c r="H14" s="399"/>
      <c r="I14" s="399"/>
      <c r="J14" s="399"/>
      <c r="K14" s="399"/>
      <c r="L14" s="399"/>
      <c r="M14" s="399"/>
      <c r="N14" s="399"/>
    </row>
    <row r="15" spans="1:17" ht="45" x14ac:dyDescent="0.25">
      <c r="A15" s="76" t="s">
        <v>39</v>
      </c>
      <c r="B15" s="76" t="s">
        <v>45</v>
      </c>
      <c r="C15" s="76" t="s">
        <v>136</v>
      </c>
      <c r="D15" s="76" t="s">
        <v>41</v>
      </c>
      <c r="E15" s="76" t="s">
        <v>42</v>
      </c>
      <c r="F15" s="76" t="s">
        <v>43</v>
      </c>
      <c r="G15" s="76" t="s">
        <v>234</v>
      </c>
      <c r="H15" s="72" t="s">
        <v>192</v>
      </c>
      <c r="I15" s="76" t="s">
        <v>140</v>
      </c>
      <c r="J15" s="76" t="s">
        <v>214</v>
      </c>
      <c r="K15" s="76" t="s">
        <v>220</v>
      </c>
      <c r="L15" s="76" t="s">
        <v>143</v>
      </c>
      <c r="M15" s="76" t="s">
        <v>198</v>
      </c>
      <c r="N15" s="76" t="str">
        <f>J2</f>
        <v>CUSTO MENSAL POR VIGILANTE</v>
      </c>
    </row>
    <row r="16" spans="1:17" x14ac:dyDescent="0.25">
      <c r="A16" s="146">
        <v>1</v>
      </c>
      <c r="B16" s="147" t="s">
        <v>205</v>
      </c>
      <c r="C16" s="146">
        <v>3</v>
      </c>
      <c r="D16" s="78"/>
      <c r="E16" s="78"/>
      <c r="F16" s="78"/>
      <c r="G16" s="78">
        <v>7281.28</v>
      </c>
      <c r="H16" s="78">
        <f>C16*G16</f>
        <v>21843.84</v>
      </c>
      <c r="I16" s="82">
        <f>H16*0.8</f>
        <v>17475.072</v>
      </c>
      <c r="J16" s="146">
        <v>99830</v>
      </c>
      <c r="K16" s="146" t="s">
        <v>226</v>
      </c>
      <c r="L16" s="148">
        <f>I16/10</f>
        <v>1747.5072</v>
      </c>
      <c r="M16" s="149">
        <f>L16/15</f>
        <v>116.50048</v>
      </c>
      <c r="N16" s="150">
        <f>M16/12</f>
        <v>9.7083733333333324</v>
      </c>
    </row>
    <row r="17" spans="1:14" ht="63" x14ac:dyDescent="0.25">
      <c r="A17" s="146">
        <v>2</v>
      </c>
      <c r="B17" s="81" t="s">
        <v>211</v>
      </c>
      <c r="C17" s="129">
        <f>12*1</f>
        <v>12</v>
      </c>
      <c r="D17" s="130"/>
      <c r="E17" s="130"/>
      <c r="F17" s="130"/>
      <c r="G17" s="131">
        <v>1610</v>
      </c>
      <c r="H17" s="130">
        <f>C17*G17</f>
        <v>19320</v>
      </c>
      <c r="I17" s="82">
        <f>H17*0.8</f>
        <v>15456</v>
      </c>
      <c r="J17" s="129">
        <v>398266</v>
      </c>
      <c r="K17" s="130" t="s">
        <v>230</v>
      </c>
      <c r="L17" s="148">
        <f>I17/10</f>
        <v>1545.6</v>
      </c>
      <c r="M17" s="149">
        <f>L17/15</f>
        <v>103.03999999999999</v>
      </c>
      <c r="N17" s="150">
        <f>M17/12</f>
        <v>8.586666666666666</v>
      </c>
    </row>
    <row r="18" spans="1:14" ht="47.25" customHeight="1" x14ac:dyDescent="0.25">
      <c r="A18" s="73">
        <v>3</v>
      </c>
      <c r="B18" s="74" t="s">
        <v>238</v>
      </c>
      <c r="C18" s="73">
        <v>2</v>
      </c>
      <c r="D18" s="75"/>
      <c r="E18" s="75"/>
      <c r="F18" s="75"/>
      <c r="G18" s="75">
        <v>3882.625</v>
      </c>
      <c r="H18" s="78">
        <f>C18*G18</f>
        <v>7765.25</v>
      </c>
      <c r="I18" s="82">
        <f>H18*0.8</f>
        <v>6212.2000000000007</v>
      </c>
      <c r="J18" s="146">
        <v>247326</v>
      </c>
      <c r="K18" s="157" t="s">
        <v>227</v>
      </c>
      <c r="L18" s="83">
        <f>I18/5</f>
        <v>1242.44</v>
      </c>
      <c r="M18" s="94">
        <f>L18/15</f>
        <v>82.829333333333338</v>
      </c>
      <c r="N18" s="151">
        <f>M18/12</f>
        <v>6.9024444444444448</v>
      </c>
    </row>
    <row r="19" spans="1:14" ht="15.75" x14ac:dyDescent="0.25">
      <c r="A19" s="400" t="s">
        <v>191</v>
      </c>
      <c r="B19" s="400"/>
      <c r="C19" s="400"/>
      <c r="D19" s="400"/>
      <c r="E19" s="400"/>
      <c r="F19" s="400"/>
      <c r="G19" s="400"/>
      <c r="H19" s="400"/>
      <c r="I19" s="400"/>
      <c r="J19" s="105"/>
      <c r="K19" s="105"/>
      <c r="L19" s="152">
        <f>SUM(L16:L18)</f>
        <v>4535.5472</v>
      </c>
      <c r="M19" s="152">
        <f>SUM(M16:M18)</f>
        <v>302.36981333333335</v>
      </c>
      <c r="N19" s="153">
        <f>SUM(N16:N18)</f>
        <v>25.197484444444445</v>
      </c>
    </row>
  </sheetData>
  <mergeCells count="4">
    <mergeCell ref="A14:N14"/>
    <mergeCell ref="A19:I19"/>
    <mergeCell ref="A1:L1"/>
    <mergeCell ref="A12:G12"/>
  </mergeCells>
  <pageMargins left="0.511811024" right="0.511811024" top="0.78740157499999996" bottom="0.78740157499999996" header="0.31496062000000002" footer="0.31496062000000002"/>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F8CA7-9F53-43BE-9F4B-789E9E10E20A}">
  <sheetPr>
    <tabColor theme="8" tint="0.59999389629810485"/>
  </sheetPr>
  <dimension ref="A1:K27"/>
  <sheetViews>
    <sheetView showGridLines="0" workbookViewId="0">
      <selection activeCell="D27" sqref="D27"/>
    </sheetView>
  </sheetViews>
  <sheetFormatPr defaultRowHeight="15" x14ac:dyDescent="0.25"/>
  <cols>
    <col min="1" max="1" width="13.42578125" customWidth="1"/>
    <col min="2" max="2" width="12.7109375" customWidth="1"/>
    <col min="3" max="3" width="59" customWidth="1"/>
    <col min="4" max="4" width="13.7109375" customWidth="1"/>
    <col min="5" max="5" width="21" bestFit="1" customWidth="1"/>
    <col min="6" max="6" width="17.5703125" bestFit="1" customWidth="1"/>
    <col min="7" max="7" width="16.5703125" customWidth="1"/>
    <col min="8" max="8" width="17.5703125" customWidth="1"/>
    <col min="9" max="10" width="18.5703125" customWidth="1"/>
    <col min="11" max="11" width="16.140625" bestFit="1" customWidth="1"/>
  </cols>
  <sheetData>
    <row r="1" spans="1:11" ht="31.5" x14ac:dyDescent="0.25">
      <c r="A1" s="404" t="s">
        <v>127</v>
      </c>
      <c r="B1" s="404"/>
      <c r="C1" s="80" t="s">
        <v>46</v>
      </c>
      <c r="D1" s="80" t="s">
        <v>134</v>
      </c>
      <c r="E1" s="80" t="s">
        <v>235</v>
      </c>
      <c r="F1" s="87" t="s">
        <v>234</v>
      </c>
      <c r="G1" s="87" t="s">
        <v>179</v>
      </c>
      <c r="H1" s="88" t="s">
        <v>142</v>
      </c>
      <c r="I1" s="110" t="s">
        <v>180</v>
      </c>
      <c r="J1" s="110" t="s">
        <v>220</v>
      </c>
      <c r="K1" s="110" t="s">
        <v>214</v>
      </c>
    </row>
    <row r="2" spans="1:11" s="79" customFormat="1" ht="60" customHeight="1" x14ac:dyDescent="0.25">
      <c r="A2" s="402" t="s">
        <v>231</v>
      </c>
      <c r="B2" s="81" t="s">
        <v>207</v>
      </c>
      <c r="C2" s="48" t="s">
        <v>208</v>
      </c>
      <c r="D2" s="84">
        <v>21</v>
      </c>
      <c r="E2" s="85" t="s">
        <v>236</v>
      </c>
      <c r="F2" s="86">
        <v>443.5</v>
      </c>
      <c r="G2" s="85">
        <f t="shared" ref="G2:G7" si="0">D2*F2</f>
        <v>9313.5</v>
      </c>
      <c r="H2" s="85">
        <f t="shared" ref="H2:H7" si="1">G2/12</f>
        <v>776.125</v>
      </c>
      <c r="I2" s="85">
        <f t="shared" ref="I2:I7" si="2">H2/15</f>
        <v>51.741666666666667</v>
      </c>
      <c r="J2" s="85" t="s">
        <v>228</v>
      </c>
      <c r="K2" s="155" t="s">
        <v>215</v>
      </c>
    </row>
    <row r="3" spans="1:11" s="79" customFormat="1" ht="60" customHeight="1" x14ac:dyDescent="0.25">
      <c r="A3" s="402"/>
      <c r="B3" s="81" t="s">
        <v>181</v>
      </c>
      <c r="C3" s="48" t="s">
        <v>182</v>
      </c>
      <c r="D3" s="84">
        <f>7*3</f>
        <v>21</v>
      </c>
      <c r="E3" s="85" t="s">
        <v>236</v>
      </c>
      <c r="F3" s="86">
        <v>15</v>
      </c>
      <c r="G3" s="85">
        <f t="shared" si="0"/>
        <v>315</v>
      </c>
      <c r="H3" s="85">
        <f t="shared" si="1"/>
        <v>26.25</v>
      </c>
      <c r="I3" s="85">
        <f t="shared" si="2"/>
        <v>1.75</v>
      </c>
      <c r="J3" s="85" t="s">
        <v>228</v>
      </c>
      <c r="K3" s="84">
        <v>254589</v>
      </c>
    </row>
    <row r="4" spans="1:11" s="79" customFormat="1" ht="60" customHeight="1" x14ac:dyDescent="0.25">
      <c r="A4" s="402"/>
      <c r="B4" s="81" t="s">
        <v>129</v>
      </c>
      <c r="C4" s="48" t="s">
        <v>139</v>
      </c>
      <c r="D4" s="84">
        <f>7*3</f>
        <v>21</v>
      </c>
      <c r="E4" s="85" t="s">
        <v>236</v>
      </c>
      <c r="F4" s="86">
        <v>75.75</v>
      </c>
      <c r="G4" s="85">
        <f t="shared" si="0"/>
        <v>1590.75</v>
      </c>
      <c r="H4" s="85">
        <f t="shared" si="1"/>
        <v>132.5625</v>
      </c>
      <c r="I4" s="85">
        <f t="shared" si="2"/>
        <v>8.8375000000000004</v>
      </c>
      <c r="J4" s="85" t="s">
        <v>228</v>
      </c>
      <c r="K4" s="84">
        <v>484160</v>
      </c>
    </row>
    <row r="5" spans="1:11" s="79" customFormat="1" ht="60" customHeight="1" x14ac:dyDescent="0.25">
      <c r="A5" s="402"/>
      <c r="B5" s="81" t="s">
        <v>130</v>
      </c>
      <c r="C5" s="48" t="s">
        <v>131</v>
      </c>
      <c r="D5" s="84">
        <f>15*2</f>
        <v>30</v>
      </c>
      <c r="E5" s="85" t="s">
        <v>236</v>
      </c>
      <c r="F5" s="86">
        <v>69</v>
      </c>
      <c r="G5" s="85">
        <f t="shared" si="0"/>
        <v>2070</v>
      </c>
      <c r="H5" s="85">
        <f t="shared" si="1"/>
        <v>172.5</v>
      </c>
      <c r="I5" s="85">
        <f t="shared" si="2"/>
        <v>11.5</v>
      </c>
      <c r="J5" s="85" t="s">
        <v>228</v>
      </c>
      <c r="K5" s="84">
        <v>382962</v>
      </c>
    </row>
    <row r="6" spans="1:11" s="79" customFormat="1" ht="60" customHeight="1" x14ac:dyDescent="0.25">
      <c r="A6" s="402"/>
      <c r="B6" s="81" t="s">
        <v>132</v>
      </c>
      <c r="C6" s="48" t="s">
        <v>201</v>
      </c>
      <c r="D6" s="84">
        <f>7*3</f>
        <v>21</v>
      </c>
      <c r="E6" s="85" t="s">
        <v>236</v>
      </c>
      <c r="F6" s="86">
        <v>5.99</v>
      </c>
      <c r="G6" s="85">
        <f t="shared" si="0"/>
        <v>125.79</v>
      </c>
      <c r="H6" s="85">
        <f t="shared" si="1"/>
        <v>10.4825</v>
      </c>
      <c r="I6" s="85">
        <f t="shared" si="2"/>
        <v>0.69883333333333331</v>
      </c>
      <c r="J6" s="85" t="s">
        <v>229</v>
      </c>
      <c r="K6" s="84">
        <v>463850</v>
      </c>
    </row>
    <row r="7" spans="1:11" s="79" customFormat="1" ht="60" customHeight="1" x14ac:dyDescent="0.25">
      <c r="A7" s="402"/>
      <c r="B7" s="111" t="s">
        <v>133</v>
      </c>
      <c r="C7" s="112" t="s">
        <v>202</v>
      </c>
      <c r="D7" s="84">
        <f>7*2</f>
        <v>14</v>
      </c>
      <c r="E7" s="85" t="s">
        <v>236</v>
      </c>
      <c r="F7" s="115">
        <v>136.44</v>
      </c>
      <c r="G7" s="114">
        <f t="shared" si="0"/>
        <v>1910.1599999999999</v>
      </c>
      <c r="H7" s="114">
        <f t="shared" si="1"/>
        <v>159.17999999999998</v>
      </c>
      <c r="I7" s="114">
        <f t="shared" si="2"/>
        <v>10.611999999999998</v>
      </c>
      <c r="J7" s="85" t="s">
        <v>228</v>
      </c>
      <c r="K7" s="113" t="s">
        <v>216</v>
      </c>
    </row>
    <row r="8" spans="1:11" s="122" customFormat="1" ht="23.1" customHeight="1" x14ac:dyDescent="0.25">
      <c r="A8" s="116"/>
      <c r="B8" s="117"/>
      <c r="C8" s="118"/>
      <c r="D8" s="119"/>
      <c r="E8" s="120"/>
      <c r="F8" s="121"/>
      <c r="G8" s="121">
        <f>SUM(G2:G7)</f>
        <v>15325.2</v>
      </c>
      <c r="H8" s="121">
        <f>SUM(H2:H7)</f>
        <v>1277.1000000000001</v>
      </c>
      <c r="I8" s="121">
        <f>SUM(I2:I7)</f>
        <v>85.14</v>
      </c>
      <c r="J8" s="121"/>
    </row>
    <row r="9" spans="1:11" s="128" customFormat="1" ht="14.45" customHeight="1" x14ac:dyDescent="0.25">
      <c r="A9" s="123"/>
      <c r="B9" s="124"/>
      <c r="C9" s="125"/>
      <c r="D9" s="126"/>
      <c r="E9" s="127"/>
      <c r="F9" s="127"/>
      <c r="G9" s="127"/>
      <c r="H9" s="127"/>
      <c r="I9" s="127"/>
      <c r="J9" s="127"/>
    </row>
    <row r="10" spans="1:11" s="128" customFormat="1" ht="20.100000000000001" customHeight="1" x14ac:dyDescent="0.25">
      <c r="A10" s="123"/>
      <c r="B10" s="124"/>
      <c r="C10" s="125"/>
      <c r="D10" s="126"/>
      <c r="E10" s="127"/>
      <c r="F10" s="127"/>
      <c r="G10" s="127"/>
      <c r="H10" s="127"/>
      <c r="I10" s="127"/>
      <c r="J10" s="127"/>
    </row>
    <row r="11" spans="1:11" s="79" customFormat="1" ht="60" customHeight="1" x14ac:dyDescent="0.25">
      <c r="A11" s="402" t="s">
        <v>183</v>
      </c>
      <c r="B11" s="81" t="s">
        <v>129</v>
      </c>
      <c r="C11" s="81" t="s">
        <v>209</v>
      </c>
      <c r="D11" s="129">
        <f>8*3</f>
        <v>24</v>
      </c>
      <c r="E11" s="160" t="s">
        <v>236</v>
      </c>
      <c r="F11" s="131">
        <v>45.25</v>
      </c>
      <c r="G11" s="130">
        <f t="shared" ref="G11:G18" si="3">D11*F11</f>
        <v>1086</v>
      </c>
      <c r="H11" s="130">
        <f t="shared" ref="H11:H18" si="4">G11/12</f>
        <v>90.5</v>
      </c>
      <c r="I11" s="130">
        <f t="shared" ref="I11:I18" si="5">H11/15</f>
        <v>6.0333333333333332</v>
      </c>
      <c r="J11" s="130" t="s">
        <v>228</v>
      </c>
      <c r="K11" s="129">
        <v>600670</v>
      </c>
    </row>
    <row r="12" spans="1:11" s="79" customFormat="1" ht="60" customHeight="1" x14ac:dyDescent="0.25">
      <c r="A12" s="402"/>
      <c r="B12" s="81" t="s">
        <v>128</v>
      </c>
      <c r="C12" s="81" t="s">
        <v>184</v>
      </c>
      <c r="D12" s="129">
        <f>8*3</f>
        <v>24</v>
      </c>
      <c r="E12" s="160" t="s">
        <v>236</v>
      </c>
      <c r="F12" s="131">
        <v>273</v>
      </c>
      <c r="G12" s="130">
        <f t="shared" si="3"/>
        <v>6552</v>
      </c>
      <c r="H12" s="130">
        <f t="shared" si="4"/>
        <v>546</v>
      </c>
      <c r="I12" s="130">
        <f t="shared" si="5"/>
        <v>36.4</v>
      </c>
      <c r="J12" s="130" t="s">
        <v>228</v>
      </c>
      <c r="K12" s="129">
        <v>318787</v>
      </c>
    </row>
    <row r="13" spans="1:11" s="79" customFormat="1" ht="60" customHeight="1" x14ac:dyDescent="0.25">
      <c r="A13" s="402"/>
      <c r="B13" s="81" t="s">
        <v>185</v>
      </c>
      <c r="C13" s="81" t="s">
        <v>210</v>
      </c>
      <c r="D13" s="129">
        <f>8*2</f>
        <v>16</v>
      </c>
      <c r="E13" s="160" t="s">
        <v>236</v>
      </c>
      <c r="F13" s="131">
        <v>546.15</v>
      </c>
      <c r="G13" s="130">
        <f t="shared" si="3"/>
        <v>8738.4</v>
      </c>
      <c r="H13" s="130">
        <f t="shared" si="4"/>
        <v>728.19999999999993</v>
      </c>
      <c r="I13" s="130">
        <f t="shared" si="5"/>
        <v>48.54666666666666</v>
      </c>
      <c r="J13" s="130" t="s">
        <v>228</v>
      </c>
      <c r="K13" s="129">
        <v>614123</v>
      </c>
    </row>
    <row r="14" spans="1:11" s="79" customFormat="1" ht="60" customHeight="1" x14ac:dyDescent="0.25">
      <c r="A14" s="402"/>
      <c r="B14" s="81" t="s">
        <v>186</v>
      </c>
      <c r="C14" s="81" t="s">
        <v>239</v>
      </c>
      <c r="D14" s="129">
        <f>8*2</f>
        <v>16</v>
      </c>
      <c r="E14" s="160" t="s">
        <v>236</v>
      </c>
      <c r="F14" s="131">
        <v>724.95</v>
      </c>
      <c r="G14" s="130">
        <f t="shared" si="3"/>
        <v>11599.2</v>
      </c>
      <c r="H14" s="130">
        <f t="shared" si="4"/>
        <v>966.6</v>
      </c>
      <c r="I14" s="130">
        <f t="shared" si="5"/>
        <v>64.44</v>
      </c>
      <c r="J14" s="130" t="s">
        <v>228</v>
      </c>
      <c r="K14" s="129" t="s">
        <v>217</v>
      </c>
    </row>
    <row r="15" spans="1:11" s="79" customFormat="1" ht="62.25" customHeight="1" x14ac:dyDescent="0.25">
      <c r="A15" s="402"/>
      <c r="B15" s="81" t="s">
        <v>187</v>
      </c>
      <c r="C15" s="81" t="s">
        <v>203</v>
      </c>
      <c r="D15" s="129">
        <f>8*3</f>
        <v>24</v>
      </c>
      <c r="E15" s="160" t="s">
        <v>236</v>
      </c>
      <c r="F15" s="131">
        <v>11.2</v>
      </c>
      <c r="G15" s="130">
        <f t="shared" si="3"/>
        <v>268.79999999999995</v>
      </c>
      <c r="H15" s="130">
        <f t="shared" si="4"/>
        <v>22.399999999999995</v>
      </c>
      <c r="I15" s="130">
        <f t="shared" si="5"/>
        <v>1.493333333333333</v>
      </c>
      <c r="J15" s="130" t="s">
        <v>228</v>
      </c>
      <c r="K15" s="129">
        <v>485781</v>
      </c>
    </row>
    <row r="16" spans="1:11" s="79" customFormat="1" ht="60" customHeight="1" x14ac:dyDescent="0.25">
      <c r="A16" s="402"/>
      <c r="B16" s="81" t="s">
        <v>188</v>
      </c>
      <c r="C16" s="132" t="s">
        <v>204</v>
      </c>
      <c r="D16" s="129">
        <f>8*3</f>
        <v>24</v>
      </c>
      <c r="E16" s="160" t="s">
        <v>237</v>
      </c>
      <c r="F16" s="131">
        <v>51.93</v>
      </c>
      <c r="G16" s="130">
        <f t="shared" si="3"/>
        <v>1246.32</v>
      </c>
      <c r="H16" s="130">
        <f t="shared" si="4"/>
        <v>103.86</v>
      </c>
      <c r="I16" s="130">
        <f t="shared" si="5"/>
        <v>6.9240000000000004</v>
      </c>
      <c r="J16" s="130" t="s">
        <v>228</v>
      </c>
      <c r="K16" s="129">
        <v>603838</v>
      </c>
    </row>
    <row r="17" spans="1:11" s="79" customFormat="1" ht="300.75" customHeight="1" x14ac:dyDescent="0.25">
      <c r="A17" s="403"/>
      <c r="B17" s="111" t="s">
        <v>199</v>
      </c>
      <c r="C17" s="133" t="s">
        <v>200</v>
      </c>
      <c r="D17" s="133">
        <v>15</v>
      </c>
      <c r="E17" s="160" t="s">
        <v>236</v>
      </c>
      <c r="F17" s="135">
        <v>139.80000000000001</v>
      </c>
      <c r="G17" s="130">
        <f t="shared" si="3"/>
        <v>2097</v>
      </c>
      <c r="H17" s="130">
        <f t="shared" si="4"/>
        <v>174.75</v>
      </c>
      <c r="I17" s="130">
        <f t="shared" si="5"/>
        <v>11.65</v>
      </c>
      <c r="J17" s="130" t="s">
        <v>228</v>
      </c>
      <c r="K17" s="129">
        <v>474925</v>
      </c>
    </row>
    <row r="18" spans="1:11" s="79" customFormat="1" ht="60" customHeight="1" x14ac:dyDescent="0.25">
      <c r="A18" s="403"/>
      <c r="B18" s="111" t="s">
        <v>189</v>
      </c>
      <c r="C18" s="133" t="s">
        <v>190</v>
      </c>
      <c r="D18" s="133">
        <f>8*3</f>
        <v>24</v>
      </c>
      <c r="E18" s="159" t="s">
        <v>236</v>
      </c>
      <c r="F18" s="135">
        <v>27</v>
      </c>
      <c r="G18" s="134">
        <f t="shared" si="3"/>
        <v>648</v>
      </c>
      <c r="H18" s="134">
        <f t="shared" si="4"/>
        <v>54</v>
      </c>
      <c r="I18" s="134">
        <f t="shared" si="5"/>
        <v>3.6</v>
      </c>
      <c r="J18" s="130" t="s">
        <v>228</v>
      </c>
      <c r="K18" s="129">
        <v>284004</v>
      </c>
    </row>
    <row r="19" spans="1:11" ht="21.6" customHeight="1" x14ac:dyDescent="0.25">
      <c r="A19" s="136"/>
      <c r="B19" s="136"/>
      <c r="C19" s="136"/>
      <c r="D19" s="136"/>
      <c r="E19" s="136"/>
      <c r="F19" s="121">
        <f>SUM(F11:F18)</f>
        <v>1819.28</v>
      </c>
      <c r="G19" s="121">
        <f>SUM(G11:G18)</f>
        <v>32235.719999999998</v>
      </c>
      <c r="H19" s="121">
        <f>SUM(H11:H18)</f>
        <v>2686.31</v>
      </c>
      <c r="I19" s="121">
        <f>SUM(I11:I18)</f>
        <v>179.08733333333333</v>
      </c>
      <c r="J19" s="158"/>
    </row>
    <row r="21" spans="1:11" x14ac:dyDescent="0.25">
      <c r="G21" s="137" t="s">
        <v>191</v>
      </c>
      <c r="I21" s="138">
        <f>I8+I19</f>
        <v>264.22733333333332</v>
      </c>
      <c r="J21" s="138"/>
    </row>
    <row r="27" spans="1:11" x14ac:dyDescent="0.25">
      <c r="D27" s="93"/>
    </row>
  </sheetData>
  <mergeCells count="3">
    <mergeCell ref="A11:A18"/>
    <mergeCell ref="A2:A7"/>
    <mergeCell ref="A1:B1"/>
  </mergeCells>
  <phoneticPr fontId="20" type="noConversion"/>
  <pageMargins left="0.511811024" right="0.511811024" top="0.78740157499999996" bottom="0.78740157499999996" header="0.31496062000000002" footer="0.31496062000000002"/>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5</vt:i4>
      </vt:variant>
    </vt:vector>
  </HeadingPairs>
  <TitlesOfParts>
    <vt:vector size="14" baseType="lpstr">
      <vt:lpstr>Resumo</vt:lpstr>
      <vt:lpstr>Memória de Cálculo</vt:lpstr>
      <vt:lpstr>VIG 44 H SRRJ</vt:lpstr>
      <vt:lpstr>VIG 12X36 DIURNO SRRJ</vt:lpstr>
      <vt:lpstr>VIG 12X36 NOTURNO SRRJ</vt:lpstr>
      <vt:lpstr>VIG 12X36 DIURNO GIG</vt:lpstr>
      <vt:lpstr>VIG 12X36 NOTURNO GIG</vt:lpstr>
      <vt:lpstr>Insumos e Equipamentos</vt:lpstr>
      <vt:lpstr>Uniformes</vt:lpstr>
      <vt:lpstr>'VIG 12X36 DIURNO GIG'!Area_de_impressao</vt:lpstr>
      <vt:lpstr>'VIG 12X36 DIURNO SRRJ'!Area_de_impressao</vt:lpstr>
      <vt:lpstr>'VIG 12X36 NOTURNO GIG'!Area_de_impressao</vt:lpstr>
      <vt:lpstr>'VIG 12X36 NOTURNO SRRJ'!Area_de_impressao</vt:lpstr>
      <vt:lpstr>'VIG 44 H SRRJ'!Area_de_impressao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Grace Steffanie Oliveira Campelo da Silva</dc:creator>
  <cp:lastModifiedBy>Vanderson Bernardes da Silva</cp:lastModifiedBy>
  <cp:lastPrinted>2023-07-18T13:13:47Z</cp:lastPrinted>
  <dcterms:created xsi:type="dcterms:W3CDTF">2023-07-17T14:22:03Z</dcterms:created>
  <dcterms:modified xsi:type="dcterms:W3CDTF">2024-08-23T19:26:17Z</dcterms:modified>
</cp:coreProperties>
</file>